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ateriais, Educação\Simulador PGBL\"/>
    </mc:Choice>
  </mc:AlternateContent>
  <xr:revisionPtr revIDLastSave="0" documentId="13_ncr:1_{1A7E1889-144D-49E4-B056-2CEB6B4DC35D}" xr6:coauthVersionLast="47" xr6:coauthVersionMax="47" xr10:uidLastSave="{00000000-0000-0000-0000-000000000000}"/>
  <bookViews>
    <workbookView xWindow="-120" yWindow="-120" windowWidth="29040" windowHeight="15720" xr2:uid="{0C4DBFC5-F9F2-4A97-894F-7E0BFC985ED8}"/>
  </bookViews>
  <sheets>
    <sheet name="Simulador" sheetId="1" r:id="rId1"/>
    <sheet name="Tabela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9" i="1"/>
  <c r="I8" i="1"/>
  <c r="I7" i="1"/>
  <c r="H5" i="1" l="1"/>
  <c r="I5" i="1" s="1"/>
  <c r="G4" i="1" l="1"/>
  <c r="F17" i="2"/>
  <c r="E17" i="2"/>
  <c r="B14" i="2"/>
  <c r="F11" i="2"/>
  <c r="H6" i="1"/>
  <c r="I6" i="1" s="1"/>
  <c r="H4" i="1"/>
  <c r="I4" i="1" s="1"/>
  <c r="I10" i="1" s="1"/>
  <c r="I12" i="1" l="1"/>
  <c r="I14" i="1" s="1"/>
  <c r="G11" i="1"/>
  <c r="G13" i="1"/>
  <c r="H8" i="1"/>
  <c r="H7" i="1" l="1"/>
  <c r="H10" i="1" l="1"/>
  <c r="C33" i="2" l="1"/>
  <c r="D33" i="2" s="1"/>
  <c r="D32" i="2"/>
  <c r="D31" i="2"/>
  <c r="I11" i="2"/>
  <c r="B10" i="1"/>
  <c r="H9" i="1"/>
  <c r="H12" i="1" s="1"/>
  <c r="H14" i="1" s="1"/>
  <c r="B9" i="1"/>
  <c r="G12" i="1" l="1"/>
  <c r="G14" i="1" s="1"/>
  <c r="B13" i="1" s="1"/>
  <c r="G15" i="1" l="1"/>
  <c r="H13" i="1"/>
  <c r="H15" i="1" l="1"/>
  <c r="I13" i="1"/>
  <c r="I15" i="1" s="1"/>
</calcChain>
</file>

<file path=xl/sharedStrings.xml><?xml version="1.0" encoding="utf-8"?>
<sst xmlns="http://schemas.openxmlformats.org/spreadsheetml/2006/main" count="75" uniqueCount="61">
  <si>
    <t>Premissas (Inputs)</t>
  </si>
  <si>
    <t>Cálculos</t>
  </si>
  <si>
    <t>Renda bruta (mês)</t>
  </si>
  <si>
    <t>Declaração</t>
  </si>
  <si>
    <t>Simplificada</t>
  </si>
  <si>
    <t xml:space="preserve">Completa </t>
  </si>
  <si>
    <t>Completa com 12% em PGBL</t>
  </si>
  <si>
    <t>Gasto com saúde (mês)</t>
  </si>
  <si>
    <t>Renda Anual</t>
  </si>
  <si>
    <t>Quantidade de dependentes</t>
  </si>
  <si>
    <t>Deduções</t>
  </si>
  <si>
    <t>INSS</t>
  </si>
  <si>
    <t>Gasto com educação própria (mês)</t>
  </si>
  <si>
    <t>Saúde</t>
  </si>
  <si>
    <t>Gasto com educação dos dependentes (mês)</t>
  </si>
  <si>
    <t>Educação própria</t>
  </si>
  <si>
    <t>Contribuição no PGBL (total no ano)</t>
  </si>
  <si>
    <t>Educação dependentes</t>
  </si>
  <si>
    <t>Dependentes</t>
  </si>
  <si>
    <t>PGBL</t>
  </si>
  <si>
    <t>Dedução Simplificada</t>
  </si>
  <si>
    <t>Diagnóstico</t>
  </si>
  <si>
    <t>Base Tributável</t>
  </si>
  <si>
    <t>IR</t>
  </si>
  <si>
    <t>IR na Fonte</t>
  </si>
  <si>
    <t>IR Devido</t>
  </si>
  <si>
    <t xml:space="preserve">Restituição </t>
  </si>
  <si>
    <t>IMPORTANTE</t>
  </si>
  <si>
    <t xml:space="preserve">
- As deduções anuais por Dependente possuem um valor fixo de R$2.275,08 e, caso inserida a quantidade de dependentes, este será o valor considerado por indivíduo.
- Os gastos anuais com Educação possuem um teto de dedução igual a R$ 3.561,50 por pessoa (incluindo o próprio contribuinte e seus dependentes). Qualquer valor inserido acima deste valor máximo, não será considerado para a dedução da base de cálculo. O limite aplicado pressupõe que os custos são distribuídos igualmente entre os dependentes.
- O limite máximo de alocação em PGBL anual é de 12% da renda brutra tributável compensável
- As regras e tabelas utilizadas, tomaram como base a legislação vigente em 2022. Mudanças futuras não estão contempladas e podem invalidar os resultados mostrados.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</si>
  <si>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Base de Cálculo (R$)</t>
  </si>
  <si>
    <t>Alíquota (%)</t>
  </si>
  <si>
    <t>Parcela a Deduzir do IR (R$)</t>
  </si>
  <si>
    <t>Anual</t>
  </si>
  <si>
    <t>Base de cálculo (R$)</t>
  </si>
  <si>
    <t>Parcela a deduzir do IRPF (R$)</t>
  </si>
  <si>
    <t>Até 22.847,76</t>
  </si>
  <si>
    <t>-</t>
  </si>
  <si>
    <t>De 22.847,77 até 33.919,80</t>
  </si>
  <si>
    <t>De 33.919,81 até 45.012,60</t>
  </si>
  <si>
    <t>De 45.012,61 até 55.976,16</t>
  </si>
  <si>
    <t>Acima de 55.976,16</t>
  </si>
  <si>
    <t>Teto INSS</t>
  </si>
  <si>
    <t>Mensal</t>
  </si>
  <si>
    <t>Faixa máxima INSS</t>
  </si>
  <si>
    <t>Até 1.903,98</t>
  </si>
  <si>
    <t>Parcela a Deduzir do INSS (R$)</t>
  </si>
  <si>
    <t>De 22.847,77 até 2.826,65</t>
  </si>
  <si>
    <t>De 2.826,66 até 3.751,05</t>
  </si>
  <si>
    <t>De 3.751,06 até 4.664,68</t>
  </si>
  <si>
    <t>Acima de 4.664,68</t>
  </si>
  <si>
    <t>Gastos Dedutiveis</t>
  </si>
  <si>
    <t>Teto Educação</t>
  </si>
  <si>
    <t>Teto Depentendes</t>
  </si>
  <si>
    <t>Teto Simplificada</t>
  </si>
  <si>
    <t>Taxas</t>
  </si>
  <si>
    <t>Tipo</t>
  </si>
  <si>
    <t>Ano</t>
  </si>
  <si>
    <t>Mês</t>
  </si>
  <si>
    <t>Nominal</t>
  </si>
  <si>
    <t xml:space="preserve">Inf </t>
  </si>
  <si>
    <t>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</si>
</sst>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-#,##0.00;\-"/>
    <numFmt numFmtId="165" formatCode="#,##0;\-#,##0;\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Roboto Light"/>
    </font>
    <font>
      <b/>
      <sz val="20"/>
      <name val="Roboto"/>
    </font>
    <font>
      <b/>
      <sz val="20"/>
      <color indexed="8"/>
      <name val="Roboto"/>
    </font>
    <font>
      <sz val="18"/>
      <name val="Roboto Light"/>
    </font>
    <font>
      <b/>
      <sz val="18"/>
      <color theme="1"/>
      <name val="Roboto "/>
    </font>
    <font>
      <sz val="18"/>
      <name val="Roboto"/>
    </font>
    <font>
      <b/>
      <sz val="18"/>
      <name val="Roboto "/>
    </font>
    <font>
      <b/>
      <sz val="18"/>
      <color indexed="8"/>
      <name val="Roboto "/>
    </font>
    <font>
      <b/>
      <sz val="18"/>
      <color rgb="FFFFC000"/>
      <name val="Roboto"/>
    </font>
    <font>
      <b/>
      <sz val="15"/>
      <color indexed="8"/>
      <name val="Roboto"/>
    </font>
    <font>
      <sz val="15"/>
      <color indexed="8"/>
      <name val="Roboto Light"/>
    </font>
    <font>
      <b/>
      <sz val="18"/>
      <color indexed="8"/>
      <name val="Roboto"/>
    </font>
    <font>
      <b/>
      <sz val="15"/>
      <color indexed="8"/>
      <name val="Roboto "/>
    </font>
    <font>
      <b/>
      <sz val="20"/>
      <color rgb="FFFFC000"/>
      <name val="Roboto"/>
    </font>
    <font>
      <sz val="16"/>
      <color indexed="8"/>
      <name val="Roboto Light"/>
    </font>
    <font>
      <b/>
      <sz val="12"/>
      <color rgb="FFFFC000"/>
      <name val="Calibri"/>
      <family val="2"/>
      <scheme val="minor"/>
    </font>
    <font>
      <sz val="11"/>
      <color rgb="FFFFC000"/>
      <name val="Calibri"/>
      <family val="2"/>
      <scheme val="minor"/>
    </font>
    <font>
      <sz val="12"/>
      <color rgb="FFFFC000"/>
      <name val="Calibri"/>
      <family val="2"/>
      <scheme val="minor"/>
    </font>
    <font>
      <b/>
      <sz val="10"/>
      <color rgb="FF000000"/>
      <name val="Calibri"/>
      <family val="2"/>
      <charset val="1"/>
      <scheme val="minor"/>
    </font>
    <font>
      <sz val="10"/>
      <color rgb="FF000000"/>
      <name val="Calibri"/>
      <family val="2"/>
      <charset val="1"/>
      <scheme val="minor"/>
    </font>
    <font>
      <sz val="18"/>
      <color indexed="8"/>
      <name val="Roboto"/>
    </font>
  </fonts>
  <fills count="7">
    <fill>
      <patternFill patternType="none"/>
    </fill>
    <fill>
      <patternFill patternType="gray125"/>
    </fill>
    <fill>
      <patternFill patternType="solid">
        <fgColor rgb="FFFFC70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2" applyFont="1"/>
    <xf numFmtId="0" fontId="3" fillId="0" borderId="1" xfId="2" applyFont="1" applyBorder="1"/>
    <xf numFmtId="0" fontId="3" fillId="0" borderId="2" xfId="2" applyFont="1" applyBorder="1"/>
    <xf numFmtId="0" fontId="2" fillId="0" borderId="0" xfId="2"/>
    <xf numFmtId="0" fontId="3" fillId="0" borderId="4" xfId="2" applyFont="1" applyBorder="1"/>
    <xf numFmtId="0" fontId="6" fillId="0" borderId="0" xfId="2" applyFont="1" applyAlignment="1">
      <alignment horizontal="left" vertical="center"/>
    </xf>
    <xf numFmtId="164" fontId="7" fillId="2" borderId="0" xfId="1" applyNumberFormat="1" applyFont="1" applyFill="1" applyBorder="1" applyAlignment="1" applyProtection="1">
      <alignment horizontal="center"/>
      <protection locked="0"/>
    </xf>
    <xf numFmtId="0" fontId="9" fillId="0" borderId="5" xfId="2" applyFont="1" applyBorder="1" applyAlignment="1">
      <alignment horizontal="center" vertical="center"/>
    </xf>
    <xf numFmtId="164" fontId="10" fillId="2" borderId="0" xfId="1" applyNumberFormat="1" applyFont="1" applyFill="1" applyBorder="1" applyAlignment="1" applyProtection="1">
      <alignment horizontal="center"/>
      <protection locked="0"/>
    </xf>
    <xf numFmtId="164" fontId="11" fillId="0" borderId="5" xfId="2" applyNumberFormat="1" applyFont="1" applyBorder="1" applyAlignment="1">
      <alignment horizontal="center" vertical="center"/>
    </xf>
    <xf numFmtId="164" fontId="11" fillId="0" borderId="6" xfId="2" applyNumberFormat="1" applyFont="1" applyBorder="1" applyAlignment="1">
      <alignment horizontal="center" vertical="center"/>
    </xf>
    <xf numFmtId="165" fontId="10" fillId="2" borderId="0" xfId="1" applyNumberFormat="1" applyFont="1" applyFill="1" applyBorder="1" applyAlignment="1" applyProtection="1">
      <alignment horizontal="center"/>
      <protection locked="0"/>
    </xf>
    <xf numFmtId="0" fontId="6" fillId="0" borderId="4" xfId="2" applyFont="1" applyBorder="1" applyAlignment="1">
      <alignment horizontal="left" vertical="center"/>
    </xf>
    <xf numFmtId="0" fontId="6" fillId="3" borderId="4" xfId="2" applyFont="1" applyFill="1" applyBorder="1" applyAlignment="1">
      <alignment horizontal="left" vertical="center"/>
    </xf>
    <xf numFmtId="0" fontId="3" fillId="0" borderId="10" xfId="2" applyFont="1" applyBorder="1"/>
    <xf numFmtId="0" fontId="3" fillId="0" borderId="10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6" fillId="0" borderId="2" xfId="2" applyFont="1" applyBorder="1" applyAlignment="1">
      <alignment horizontal="left" vertical="center"/>
    </xf>
    <xf numFmtId="0" fontId="6" fillId="0" borderId="12" xfId="2" applyFont="1" applyBorder="1" applyAlignment="1">
      <alignment horizontal="left" vertical="center"/>
    </xf>
    <xf numFmtId="164" fontId="11" fillId="0" borderId="13" xfId="2" applyNumberFormat="1" applyFont="1" applyBorder="1" applyAlignment="1">
      <alignment horizontal="center" vertical="center"/>
    </xf>
    <xf numFmtId="164" fontId="11" fillId="0" borderId="12" xfId="2" applyNumberFormat="1" applyFont="1" applyBorder="1" applyAlignment="1">
      <alignment horizontal="center" vertical="center"/>
    </xf>
    <xf numFmtId="164" fontId="14" fillId="0" borderId="0" xfId="2" applyNumberFormat="1" applyFont="1" applyAlignment="1">
      <alignment vertical="center" wrapText="1"/>
    </xf>
    <xf numFmtId="0" fontId="15" fillId="0" borderId="0" xfId="2" applyFont="1" applyAlignment="1">
      <alignment horizontal="left" vertical="top" wrapText="1"/>
    </xf>
    <xf numFmtId="0" fontId="3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18" fillId="4" borderId="14" xfId="2" applyFont="1" applyFill="1" applyBorder="1" applyAlignment="1">
      <alignment horizontal="center" wrapText="1"/>
    </xf>
    <xf numFmtId="0" fontId="18" fillId="4" borderId="15" xfId="2" applyFont="1" applyFill="1" applyBorder="1" applyAlignment="1">
      <alignment horizontal="center" wrapText="1"/>
    </xf>
    <xf numFmtId="0" fontId="18" fillId="4" borderId="16" xfId="2" applyFont="1" applyFill="1" applyBorder="1" applyAlignment="1">
      <alignment horizontal="center" wrapText="1"/>
    </xf>
    <xf numFmtId="43" fontId="19" fillId="0" borderId="17" xfId="3" applyFont="1" applyBorder="1" applyAlignment="1" applyProtection="1">
      <alignment horizontal="center"/>
    </xf>
    <xf numFmtId="0" fontId="19" fillId="0" borderId="0" xfId="2" applyFont="1" applyAlignment="1">
      <alignment horizontal="center"/>
    </xf>
    <xf numFmtId="0" fontId="19" fillId="0" borderId="18" xfId="2" applyFont="1" applyBorder="1" applyAlignment="1">
      <alignment horizontal="center"/>
    </xf>
    <xf numFmtId="43" fontId="20" fillId="5" borderId="17" xfId="3" applyFont="1" applyFill="1" applyBorder="1" applyAlignment="1" applyProtection="1">
      <alignment horizontal="center" wrapText="1"/>
    </xf>
    <xf numFmtId="10" fontId="20" fillId="5" borderId="0" xfId="2" applyNumberFormat="1" applyFont="1" applyFill="1" applyAlignment="1">
      <alignment horizontal="center" wrapText="1"/>
    </xf>
    <xf numFmtId="0" fontId="20" fillId="5" borderId="18" xfId="2" applyFont="1" applyFill="1" applyBorder="1" applyAlignment="1">
      <alignment horizontal="center" wrapText="1"/>
    </xf>
    <xf numFmtId="0" fontId="21" fillId="5" borderId="20" xfId="2" applyFont="1" applyFill="1" applyBorder="1" applyAlignment="1">
      <alignment wrapText="1"/>
    </xf>
    <xf numFmtId="9" fontId="20" fillId="5" borderId="0" xfId="2" applyNumberFormat="1" applyFont="1" applyFill="1" applyAlignment="1">
      <alignment horizontal="center" wrapText="1"/>
    </xf>
    <xf numFmtId="0" fontId="22" fillId="5" borderId="20" xfId="2" applyFont="1" applyFill="1" applyBorder="1" applyAlignment="1">
      <alignment wrapText="1"/>
    </xf>
    <xf numFmtId="0" fontId="22" fillId="5" borderId="20" xfId="2" quotePrefix="1" applyFont="1" applyFill="1" applyBorder="1" applyAlignment="1">
      <alignment wrapText="1"/>
    </xf>
    <xf numFmtId="4" fontId="22" fillId="5" borderId="20" xfId="2" applyNumberFormat="1" applyFont="1" applyFill="1" applyBorder="1" applyAlignment="1">
      <alignment wrapText="1"/>
    </xf>
    <xf numFmtId="43" fontId="20" fillId="5" borderId="21" xfId="3" applyFont="1" applyFill="1" applyBorder="1" applyAlignment="1" applyProtection="1">
      <alignment horizontal="center" wrapText="1"/>
    </xf>
    <xf numFmtId="10" fontId="20" fillId="5" borderId="22" xfId="2" applyNumberFormat="1" applyFont="1" applyFill="1" applyBorder="1" applyAlignment="1">
      <alignment horizontal="center" wrapText="1"/>
    </xf>
    <xf numFmtId="0" fontId="20" fillId="5" borderId="23" xfId="2" applyFont="1" applyFill="1" applyBorder="1" applyAlignment="1">
      <alignment horizontal="center" wrapText="1"/>
    </xf>
    <xf numFmtId="43" fontId="19" fillId="0" borderId="18" xfId="3" applyFont="1" applyBorder="1" applyAlignment="1" applyProtection="1">
      <alignment horizontal="center"/>
    </xf>
    <xf numFmtId="43" fontId="20" fillId="5" borderId="18" xfId="3" applyFont="1" applyFill="1" applyBorder="1" applyAlignment="1" applyProtection="1">
      <alignment horizontal="center" wrapText="1"/>
    </xf>
    <xf numFmtId="43" fontId="20" fillId="5" borderId="23" xfId="3" applyFont="1" applyFill="1" applyBorder="1" applyAlignment="1" applyProtection="1">
      <alignment horizontal="center" wrapText="1"/>
    </xf>
    <xf numFmtId="43" fontId="0" fillId="0" borderId="0" xfId="3" applyFont="1"/>
    <xf numFmtId="43" fontId="2" fillId="0" borderId="0" xfId="2" applyNumberFormat="1"/>
    <xf numFmtId="0" fontId="18" fillId="4" borderId="8" xfId="2" applyFont="1" applyFill="1" applyBorder="1" applyAlignment="1">
      <alignment horizontal="center" wrapText="1"/>
    </xf>
    <xf numFmtId="43" fontId="20" fillId="5" borderId="2" xfId="3" applyFont="1" applyFill="1" applyBorder="1" applyAlignment="1" applyProtection="1">
      <alignment horizontal="center" wrapText="1"/>
    </xf>
    <xf numFmtId="0" fontId="18" fillId="4" borderId="24" xfId="2" applyFont="1" applyFill="1" applyBorder="1" applyAlignment="1">
      <alignment horizontal="center" wrapText="1"/>
    </xf>
    <xf numFmtId="0" fontId="18" fillId="4" borderId="25" xfId="2" applyFont="1" applyFill="1" applyBorder="1" applyAlignment="1">
      <alignment horizontal="center" wrapText="1"/>
    </xf>
    <xf numFmtId="43" fontId="20" fillId="5" borderId="6" xfId="3" applyFont="1" applyFill="1" applyBorder="1" applyAlignment="1" applyProtection="1">
      <alignment horizontal="center" wrapText="1"/>
    </xf>
    <xf numFmtId="0" fontId="18" fillId="4" borderId="0" xfId="2" applyFont="1" applyFill="1" applyAlignment="1">
      <alignment horizontal="center" wrapText="1"/>
    </xf>
    <xf numFmtId="10" fontId="20" fillId="5" borderId="6" xfId="3" applyNumberFormat="1" applyFont="1" applyFill="1" applyBorder="1" applyAlignment="1" applyProtection="1">
      <alignment horizontal="center" wrapText="1"/>
    </xf>
    <xf numFmtId="0" fontId="0" fillId="6" borderId="0" xfId="0" applyFill="1"/>
    <xf numFmtId="4" fontId="0" fillId="6" borderId="0" xfId="0" applyNumberFormat="1" applyFill="1"/>
    <xf numFmtId="0" fontId="17" fillId="0" borderId="0" xfId="2" quotePrefix="1" applyFont="1" applyAlignment="1">
      <alignment vertical="top" wrapText="1"/>
    </xf>
    <xf numFmtId="4" fontId="2" fillId="0" borderId="0" xfId="2" applyNumberFormat="1"/>
    <xf numFmtId="2" fontId="2" fillId="0" borderId="0" xfId="2" applyNumberFormat="1"/>
    <xf numFmtId="0" fontId="9" fillId="0" borderId="26" xfId="2" applyFont="1" applyBorder="1" applyAlignment="1">
      <alignment horizontal="center" vertical="center"/>
    </xf>
    <xf numFmtId="164" fontId="11" fillId="0" borderId="26" xfId="2" applyNumberFormat="1" applyFont="1" applyBorder="1" applyAlignment="1">
      <alignment horizontal="center" vertical="center"/>
    </xf>
    <xf numFmtId="164" fontId="11" fillId="0" borderId="3" xfId="2" applyNumberFormat="1" applyFont="1" applyBorder="1" applyAlignment="1">
      <alignment horizontal="center" vertical="center"/>
    </xf>
    <xf numFmtId="164" fontId="14" fillId="0" borderId="2" xfId="3" applyNumberFormat="1" applyFont="1" applyBorder="1" applyAlignment="1">
      <alignment horizontal="center" vertical="center"/>
    </xf>
    <xf numFmtId="164" fontId="23" fillId="0" borderId="2" xfId="3" applyNumberFormat="1" applyFont="1" applyBorder="1" applyAlignment="1">
      <alignment horizontal="center" vertical="center"/>
    </xf>
    <xf numFmtId="164" fontId="23" fillId="3" borderId="4" xfId="2" applyNumberFormat="1" applyFont="1" applyFill="1" applyBorder="1" applyAlignment="1">
      <alignment horizontal="center" vertical="center"/>
    </xf>
    <xf numFmtId="164" fontId="23" fillId="0" borderId="4" xfId="2" applyNumberFormat="1" applyFont="1" applyBorder="1" applyAlignment="1">
      <alignment horizontal="center" vertical="center"/>
    </xf>
    <xf numFmtId="164" fontId="23" fillId="0" borderId="2" xfId="2" applyNumberFormat="1" applyFont="1" applyBorder="1" applyAlignment="1">
      <alignment horizontal="center" vertical="center"/>
    </xf>
    <xf numFmtId="164" fontId="23" fillId="0" borderId="12" xfId="2" applyNumberFormat="1" applyFont="1" applyBorder="1" applyAlignment="1">
      <alignment horizontal="center" vertical="center"/>
    </xf>
    <xf numFmtId="164" fontId="23" fillId="0" borderId="8" xfId="2" applyNumberFormat="1" applyFont="1" applyBorder="1" applyAlignment="1">
      <alignment horizontal="center" vertical="center"/>
    </xf>
    <xf numFmtId="164" fontId="23" fillId="0" borderId="1" xfId="3" applyNumberFormat="1" applyFont="1" applyBorder="1" applyAlignment="1">
      <alignment horizontal="center" vertical="center"/>
    </xf>
    <xf numFmtId="164" fontId="23" fillId="3" borderId="10" xfId="2" applyNumberFormat="1" applyFont="1" applyFill="1" applyBorder="1" applyAlignment="1">
      <alignment horizontal="center" vertical="center"/>
    </xf>
    <xf numFmtId="164" fontId="23" fillId="3" borderId="0" xfId="2" applyNumberFormat="1" applyFont="1" applyFill="1" applyAlignment="1">
      <alignment horizontal="center" vertical="center"/>
    </xf>
    <xf numFmtId="164" fontId="23" fillId="0" borderId="10" xfId="2" applyNumberFormat="1" applyFont="1" applyBorder="1" applyAlignment="1">
      <alignment horizontal="center" vertical="center"/>
    </xf>
    <xf numFmtId="164" fontId="23" fillId="0" borderId="0" xfId="2" applyNumberFormat="1" applyFont="1" applyAlignment="1">
      <alignment horizontal="center" vertical="center"/>
    </xf>
    <xf numFmtId="164" fontId="11" fillId="0" borderId="5" xfId="3" applyNumberFormat="1" applyFont="1" applyBorder="1" applyAlignment="1">
      <alignment horizontal="center" vertical="center"/>
    </xf>
    <xf numFmtId="164" fontId="23" fillId="0" borderId="1" xfId="2" applyNumberFormat="1" applyFont="1" applyBorder="1" applyAlignment="1">
      <alignment horizontal="center" vertical="center"/>
    </xf>
    <xf numFmtId="164" fontId="23" fillId="0" borderId="13" xfId="2" applyNumberFormat="1" applyFont="1" applyBorder="1" applyAlignment="1">
      <alignment horizontal="center" vertical="center"/>
    </xf>
    <xf numFmtId="164" fontId="23" fillId="0" borderId="3" xfId="2" applyNumberFormat="1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164" fontId="14" fillId="0" borderId="1" xfId="2" applyNumberFormat="1" applyFont="1" applyBorder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0" fontId="8" fillId="0" borderId="7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2" fillId="0" borderId="0" xfId="2" applyFont="1" applyAlignment="1">
      <alignment horizontal="left"/>
    </xf>
    <xf numFmtId="0" fontId="8" fillId="0" borderId="9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" fillId="0" borderId="19" xfId="2" applyBorder="1" applyAlignment="1">
      <alignment horizontal="center"/>
    </xf>
    <xf numFmtId="0" fontId="2" fillId="0" borderId="3" xfId="2" applyBorder="1" applyAlignment="1">
      <alignment horizontal="center"/>
    </xf>
    <xf numFmtId="0" fontId="2" fillId="0" borderId="0" xfId="2" applyAlignment="1">
      <alignment horizontal="center"/>
    </xf>
    <xf numFmtId="0" fontId="2" fillId="0" borderId="22" xfId="2" applyBorder="1" applyAlignment="1">
      <alignment horizontal="center"/>
    </xf>
  </cellXfs>
  <cellStyles count="4">
    <cellStyle name="Normal" xfId="0" builtinId="0"/>
    <cellStyle name="Normal 2" xfId="2" xr:uid="{3D4F0142-D4AC-442C-A80D-DD17925948BE}"/>
    <cellStyle name="Vírgula" xfId="1" builtinId="3"/>
    <cellStyle name="Vírgula 2" xfId="3" xr:uid="{8B9222A2-24FD-41E8-86ED-51CCD32BCD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C2190-B8FC-45F5-BAA5-AFC2B6BB4EA8}">
  <dimension ref="A1:P35"/>
  <sheetViews>
    <sheetView showGridLines="0" tabSelected="1" zoomScale="87" zoomScaleNormal="87" workbookViewId="0"/>
  </sheetViews>
  <sheetFormatPr defaultColWidth="0" defaultRowHeight="15" zeroHeight="1"/>
  <cols>
    <col min="1" max="1" width="5.7109375" style="4" customWidth="1"/>
    <col min="2" max="2" width="70.28515625" style="4" customWidth="1"/>
    <col min="3" max="3" width="27.85546875" style="4" customWidth="1"/>
    <col min="4" max="4" width="3.140625" style="4" customWidth="1"/>
    <col min="5" max="5" width="16.7109375" style="4" bestFit="1" customWidth="1"/>
    <col min="6" max="6" width="39" style="26" bestFit="1" customWidth="1"/>
    <col min="7" max="7" width="31.5703125" style="26" customWidth="1"/>
    <col min="8" max="8" width="39.28515625" style="4" bestFit="1" customWidth="1"/>
    <col min="9" max="9" width="51" style="4" bestFit="1" customWidth="1"/>
    <col min="10" max="10" width="9.140625" style="4" customWidth="1"/>
    <col min="11" max="16" width="0" style="4" hidden="1" customWidth="1"/>
    <col min="17" max="16384" width="9.140625" style="4" hidden="1"/>
  </cols>
  <sheetData>
    <row r="1" spans="1:10" ht="14.45" customHeight="1">
      <c r="A1" s="1"/>
      <c r="B1" s="99" t="s">
        <v>0</v>
      </c>
      <c r="C1" s="99"/>
      <c r="D1" s="2"/>
      <c r="E1" s="102" t="s">
        <v>1</v>
      </c>
      <c r="F1" s="102"/>
      <c r="G1" s="102"/>
      <c r="H1" s="102"/>
      <c r="I1" s="102"/>
      <c r="J1" s="3"/>
    </row>
    <row r="2" spans="1:10" ht="15" customHeight="1" thickBot="1">
      <c r="A2" s="1"/>
      <c r="B2" s="90"/>
      <c r="C2" s="90"/>
      <c r="D2" s="1"/>
      <c r="E2" s="102"/>
      <c r="F2" s="102"/>
      <c r="G2" s="102"/>
      <c r="H2" s="102"/>
      <c r="I2" s="102"/>
      <c r="J2" s="5"/>
    </row>
    <row r="3" spans="1:10" ht="29.25" customHeight="1" thickBot="1">
      <c r="A3" s="1"/>
      <c r="B3" s="6" t="s">
        <v>2</v>
      </c>
      <c r="C3" s="7">
        <v>0</v>
      </c>
      <c r="D3" s="1"/>
      <c r="E3" s="91" t="s">
        <v>3</v>
      </c>
      <c r="F3" s="92"/>
      <c r="G3" s="8" t="s">
        <v>4</v>
      </c>
      <c r="H3" s="61" t="s">
        <v>5</v>
      </c>
      <c r="I3" s="64" t="s">
        <v>6</v>
      </c>
      <c r="J3" s="5"/>
    </row>
    <row r="4" spans="1:10" ht="29.25" customHeight="1" thickBot="1">
      <c r="A4" s="1"/>
      <c r="B4" s="6" t="s">
        <v>7</v>
      </c>
      <c r="C4" s="9">
        <v>0</v>
      </c>
      <c r="D4" s="1"/>
      <c r="E4" s="91" t="s">
        <v>8</v>
      </c>
      <c r="F4" s="92"/>
      <c r="G4" s="10">
        <f>C3*(12+1/3)</f>
        <v>0</v>
      </c>
      <c r="H4" s="62">
        <f>C3*(12+1/3)</f>
        <v>0</v>
      </c>
      <c r="I4" s="11">
        <f>H4</f>
        <v>0</v>
      </c>
      <c r="J4" s="5"/>
    </row>
    <row r="5" spans="1:10" ht="29.25" customHeight="1">
      <c r="A5" s="1"/>
      <c r="B5" s="6" t="s">
        <v>9</v>
      </c>
      <c r="C5" s="12">
        <v>0</v>
      </c>
      <c r="D5" s="1"/>
      <c r="E5" s="95" t="s">
        <v>10</v>
      </c>
      <c r="F5" s="13" t="s">
        <v>11</v>
      </c>
      <c r="G5" s="70">
        <v>0</v>
      </c>
      <c r="H5" s="71" t="str">
        <f>IFERROR(IF(C3*12&gt;Tabelas!$E$17,Tabelas!$F$17,C3*12*VLOOKUP(C3*12,Tabelas!$B$18:$C$21,2,1)-VLOOKUP(C3*12,Tabelas!$B$18:$D$21,3,1)),"-")</f>
        <v>-</v>
      </c>
      <c r="I5" s="65" t="str">
        <f t="shared" ref="I5:I11" si="0">H5</f>
        <v>-</v>
      </c>
      <c r="J5" s="5"/>
    </row>
    <row r="6" spans="1:10" ht="29.25" customHeight="1">
      <c r="A6" s="1"/>
      <c r="B6" s="6" t="s">
        <v>12</v>
      </c>
      <c r="C6" s="9">
        <v>0</v>
      </c>
      <c r="D6" s="1"/>
      <c r="E6" s="101"/>
      <c r="F6" s="14" t="s">
        <v>13</v>
      </c>
      <c r="G6" s="72">
        <v>0</v>
      </c>
      <c r="H6" s="73">
        <f>IFERROR($C$4*12,"Valor inválido")</f>
        <v>0</v>
      </c>
      <c r="I6" s="66">
        <f t="shared" si="0"/>
        <v>0</v>
      </c>
      <c r="J6" s="5"/>
    </row>
    <row r="7" spans="1:10" ht="29.25" customHeight="1">
      <c r="A7" s="1"/>
      <c r="B7" s="6" t="s">
        <v>14</v>
      </c>
      <c r="C7" s="9">
        <v>0</v>
      </c>
      <c r="D7" s="1"/>
      <c r="E7" s="101"/>
      <c r="F7" s="13" t="s">
        <v>15</v>
      </c>
      <c r="G7" s="74">
        <v>0</v>
      </c>
      <c r="H7" s="75">
        <f>IFERROR(IF($C$6*12&gt;Tabelas!$C$25,Tabelas!$C$25,$C$6*12),"Valor inválido")</f>
        <v>0</v>
      </c>
      <c r="I7" s="67">
        <f t="shared" si="0"/>
        <v>0</v>
      </c>
      <c r="J7" s="5"/>
    </row>
    <row r="8" spans="1:10" ht="29.25" customHeight="1">
      <c r="A8" s="15"/>
      <c r="B8" s="6" t="s">
        <v>16</v>
      </c>
      <c r="C8" s="9">
        <v>0</v>
      </c>
      <c r="D8" s="1"/>
      <c r="E8" s="101"/>
      <c r="F8" s="14" t="s">
        <v>17</v>
      </c>
      <c r="G8" s="72">
        <v>0</v>
      </c>
      <c r="H8" s="73">
        <f>IFERROR(IF($C$7*12&gt;Tabelas!$C$25*($C$5),Tabelas!$C$25*($C$5),$C$7*12),"Valor inválido")</f>
        <v>0</v>
      </c>
      <c r="I8" s="66">
        <f t="shared" si="0"/>
        <v>0</v>
      </c>
      <c r="J8" s="5"/>
    </row>
    <row r="9" spans="1:10" ht="29.25" customHeight="1">
      <c r="A9" s="16"/>
      <c r="B9" s="100" t="str">
        <f>"Limite: R$"&amp;TEXT(ROUND((H4*0.12),2),"0.000,00")</f>
        <v>Limite: R$0.000,00</v>
      </c>
      <c r="C9" s="100"/>
      <c r="D9" s="1"/>
      <c r="E9" s="101"/>
      <c r="F9" s="13" t="s">
        <v>18</v>
      </c>
      <c r="G9" s="74">
        <v>0</v>
      </c>
      <c r="H9" s="75">
        <f>IFERROR($C$5*Tabelas!$C$26,"Valor inválido")</f>
        <v>0</v>
      </c>
      <c r="I9" s="67">
        <f t="shared" si="0"/>
        <v>0</v>
      </c>
      <c r="J9" s="5"/>
    </row>
    <row r="10" spans="1:10" ht="29.25" customHeight="1">
      <c r="A10" s="16"/>
      <c r="B10" s="100" t="str">
        <f>IFERROR(_xlfn.IFS(C8&lt;H4*0.12,"Atenção: Ainda falta"&amp;IF(OR(ROUND(ABS(C8-H4*0.12),2)=1,ROUND(ABS(C8-H4*0.12),2)=0.01),"","m")&amp;" R$"&amp;TEXT(ROUND((H4*0.12-C8),2),"#.##0,00")&amp;" para o limite.",C8&gt;H4*0.12,"Atenção: Limite ultrapassado em R$"&amp;TEXT(-ROUND((H4*0.12-C8),2),"#.##0,00")&amp;".",TRUE,""),"Valor de contribuição inválido.")</f>
        <v/>
      </c>
      <c r="C10" s="100"/>
      <c r="D10" s="1"/>
      <c r="E10" s="101"/>
      <c r="F10" s="14" t="s">
        <v>19</v>
      </c>
      <c r="G10" s="72">
        <v>0</v>
      </c>
      <c r="H10" s="73">
        <f>IF(ISERROR(C8*1),"Valor inválido",IF(C8&gt;H4*0.12,H4*0.12,C8))</f>
        <v>0</v>
      </c>
      <c r="I10" s="66">
        <f>$I$4*12%</f>
        <v>0</v>
      </c>
      <c r="J10" s="5"/>
    </row>
    <row r="11" spans="1:10" ht="29.25" customHeight="1" thickBot="1">
      <c r="A11" s="16"/>
      <c r="B11" s="17"/>
      <c r="C11" s="18"/>
      <c r="D11" s="1"/>
      <c r="E11" s="96"/>
      <c r="F11" s="13" t="s">
        <v>20</v>
      </c>
      <c r="G11" s="74">
        <f>IF(G4*0.2&lt;=Tabelas!C27,G4*0.2,Tabelas!C27)</f>
        <v>0</v>
      </c>
      <c r="H11" s="75">
        <v>0</v>
      </c>
      <c r="I11" s="67">
        <f t="shared" si="0"/>
        <v>0</v>
      </c>
      <c r="J11" s="5"/>
    </row>
    <row r="12" spans="1:10" ht="29.25" customHeight="1" thickBot="1">
      <c r="A12" s="16"/>
      <c r="B12" s="90" t="s">
        <v>21</v>
      </c>
      <c r="C12" s="90"/>
      <c r="D12" s="1"/>
      <c r="E12" s="91" t="s">
        <v>22</v>
      </c>
      <c r="F12" s="92"/>
      <c r="G12" s="76">
        <f>G4-G11</f>
        <v>0</v>
      </c>
      <c r="H12" s="62">
        <f>IFERROR(MAX(H4-SUM(H5:H10),0),"")</f>
        <v>0</v>
      </c>
      <c r="I12" s="11">
        <f>IFERROR(MAX(I4-SUM(I5:I10),0),"")</f>
        <v>0</v>
      </c>
      <c r="J12" s="5"/>
    </row>
    <row r="13" spans="1:10" ht="29.25" customHeight="1">
      <c r="A13" s="16"/>
      <c r="B13" s="93" t="str">
        <f>IFERROR(_xlfn.IFS(AND((G14-H14)&gt;0,C8&gt;0),"Economia de R$"&amp;TEXT(ROUND((G14-H14),2),"#.##0,00")&amp;" no ano caso seja feita a declaração completa com o PGBL.",AND((G14-H14)&gt;0,C8=0),"Economia de R$"&amp;TEXT(ROUND((G14-H14),2),"#.##0,00")&amp;" no ano caso seja feita a declaração completa."&amp;IF(H14=I14,""," Caso você faça o PGBL essa diferença aumenta para R$"&amp;TEXT(ROUND((G14-I14),2),"#.##0,00")&amp;"."),(G14-H14)=0,"Como não há diferença, é recomendado que seja feita a declaração simplificada e que a contribuição seja feita em um VGBL.",AND((G14-H14)&lt;0,(G14-I14)&lt;0),"Economia de R$"&amp;TEXT(-ROUND((G14-H14),2),"#.##0,00")&amp;" no ano caso seja feita a declaração simplificada.",AND((G14-H14)&lt;0,(G14-I14)&gt;0),"Economia de R$"&amp;TEXT(ROUND((G14-I14),2),"#.##0,00")&amp;" no ano caso seja feita a declaração completa com 12% em PGBL."),"Não foi possível realizar o cálculo. Favor entrar em contato com comercial.previdência@xpcs.com.br")</f>
        <v>Como não há diferença, é recomendado que seja feita a declaração simplificada e que a contribuição seja feita em um VGBL.</v>
      </c>
      <c r="C13" s="93"/>
      <c r="D13" s="1"/>
      <c r="E13" s="95" t="s">
        <v>23</v>
      </c>
      <c r="F13" s="19" t="s">
        <v>24</v>
      </c>
      <c r="G13" s="70" t="str">
        <f>IFERROR(((G4-$H$5)*VLOOKUP(G4-$H$5,Tabelas!$B$9:$D$13,2,1)-VLOOKUP(G4-$H$5,Tabelas!$B$9:$D$13,3,1)),"-")</f>
        <v>-</v>
      </c>
      <c r="H13" s="77" t="str">
        <f>G13</f>
        <v>-</v>
      </c>
      <c r="I13" s="68" t="str">
        <f>H13</f>
        <v>-</v>
      </c>
      <c r="J13" s="5"/>
    </row>
    <row r="14" spans="1:10" ht="29.25" customHeight="1" thickBot="1">
      <c r="A14" s="16"/>
      <c r="B14" s="94"/>
      <c r="C14" s="94"/>
      <c r="D14" s="1"/>
      <c r="E14" s="96"/>
      <c r="F14" s="20" t="s">
        <v>25</v>
      </c>
      <c r="G14" s="78">
        <f>(G12*VLOOKUP(G12,Tabelas!$B$9:$D$13,2,1)-VLOOKUP(G12,Tabelas!$B$9:$D$13,3,1))</f>
        <v>0</v>
      </c>
      <c r="H14" s="79">
        <f>IFERROR((H12*VLOOKUP(H12,Tabelas!$B$9:$D$13,2,1)-VLOOKUP(H12,Tabelas!$B$9:$D$13,3,1)),"")</f>
        <v>0</v>
      </c>
      <c r="I14" s="69">
        <f>IFERROR((I12*VLOOKUP(I12,Tabelas!$B$9:$D$13,2,1)-VLOOKUP(I12,Tabelas!$B$9:$D$13,3,1)),"")</f>
        <v>0</v>
      </c>
      <c r="J14" s="5"/>
    </row>
    <row r="15" spans="1:10" ht="29.25" customHeight="1" thickBot="1">
      <c r="A15" s="16"/>
      <c r="B15" s="94"/>
      <c r="C15" s="94"/>
      <c r="D15" s="1"/>
      <c r="E15" s="97" t="s">
        <v>26</v>
      </c>
      <c r="F15" s="98"/>
      <c r="G15" s="21" t="str">
        <f>IFERROR(G13-G14,"-")</f>
        <v>-</v>
      </c>
      <c r="H15" s="63" t="str">
        <f>IFERROR(H13-H14,"-")</f>
        <v>-</v>
      </c>
      <c r="I15" s="22" t="str">
        <f>IFERROR(I13-I14,"-")</f>
        <v>-</v>
      </c>
      <c r="J15" s="5"/>
    </row>
    <row r="16" spans="1:10" ht="29.25" customHeight="1">
      <c r="A16" s="16"/>
      <c r="B16" s="23"/>
      <c r="C16" s="23"/>
      <c r="D16" s="1"/>
      <c r="E16" s="24"/>
      <c r="F16" s="24"/>
      <c r="G16" s="4"/>
      <c r="H16" s="59"/>
      <c r="I16" s="59"/>
      <c r="J16" s="5"/>
    </row>
    <row r="17" spans="1:10" ht="29.25" customHeight="1">
      <c r="A17" s="16"/>
      <c r="B17" s="80" t="s">
        <v>27</v>
      </c>
      <c r="C17" s="80"/>
      <c r="D17" s="80"/>
      <c r="E17" s="80"/>
      <c r="F17" s="80"/>
      <c r="G17" s="80"/>
      <c r="H17" s="80"/>
      <c r="I17" s="80"/>
      <c r="J17" s="5"/>
    </row>
    <row r="18" spans="1:10" ht="15" customHeight="1" thickBot="1">
      <c r="A18" s="15"/>
      <c r="B18" s="80"/>
      <c r="C18" s="80"/>
      <c r="D18" s="80"/>
      <c r="E18" s="80"/>
      <c r="F18" s="80"/>
      <c r="G18" s="80"/>
      <c r="H18" s="80"/>
      <c r="I18" s="80"/>
      <c r="J18" s="5"/>
    </row>
    <row r="19" spans="1:10" ht="15" customHeight="1">
      <c r="A19" s="15"/>
      <c r="B19" s="81" t="s">
        <v>28</v>
      </c>
      <c r="C19" s="82"/>
      <c r="D19" s="82"/>
      <c r="E19" s="82"/>
      <c r="F19" s="82"/>
      <c r="G19" s="82"/>
      <c r="H19" s="82"/>
      <c r="I19" s="83"/>
      <c r="J19" s="1"/>
    </row>
    <row r="20" spans="1:10" ht="15" customHeight="1">
      <c r="A20" s="1"/>
      <c r="B20" s="84"/>
      <c r="C20" s="85"/>
      <c r="D20" s="85"/>
      <c r="E20" s="85"/>
      <c r="F20" s="85"/>
      <c r="G20" s="85"/>
      <c r="H20" s="85"/>
      <c r="I20" s="86"/>
      <c r="J20" s="1"/>
    </row>
    <row r="21" spans="1:10" ht="15" customHeight="1">
      <c r="A21" s="1"/>
      <c r="B21" s="84"/>
      <c r="C21" s="85"/>
      <c r="D21" s="85"/>
      <c r="E21" s="85"/>
      <c r="F21" s="85"/>
      <c r="G21" s="85"/>
      <c r="H21" s="85"/>
      <c r="I21" s="86"/>
      <c r="J21" s="1"/>
    </row>
    <row r="22" spans="1:10" ht="15" customHeight="1">
      <c r="A22" s="1"/>
      <c r="B22" s="84"/>
      <c r="C22" s="85"/>
      <c r="D22" s="85"/>
      <c r="E22" s="85"/>
      <c r="F22" s="85"/>
      <c r="G22" s="85"/>
      <c r="H22" s="85"/>
      <c r="I22" s="86"/>
      <c r="J22" s="1"/>
    </row>
    <row r="23" spans="1:10" ht="15" customHeight="1">
      <c r="A23" s="1"/>
      <c r="B23" s="84"/>
      <c r="C23" s="85"/>
      <c r="D23" s="85"/>
      <c r="E23" s="85"/>
      <c r="F23" s="85"/>
      <c r="G23" s="85"/>
      <c r="H23" s="85"/>
      <c r="I23" s="86"/>
      <c r="J23" s="1"/>
    </row>
    <row r="24" spans="1:10" ht="15" customHeight="1">
      <c r="A24" s="1"/>
      <c r="B24" s="84"/>
      <c r="C24" s="85"/>
      <c r="D24" s="85"/>
      <c r="E24" s="85"/>
      <c r="F24" s="85"/>
      <c r="G24" s="85"/>
      <c r="H24" s="85"/>
      <c r="I24" s="86"/>
      <c r="J24" s="1"/>
    </row>
    <row r="25" spans="1:10" ht="15" customHeight="1">
      <c r="A25" s="1"/>
      <c r="B25" s="84"/>
      <c r="C25" s="85"/>
      <c r="D25" s="85"/>
      <c r="E25" s="85"/>
      <c r="F25" s="85"/>
      <c r="G25" s="85"/>
      <c r="H25" s="85"/>
      <c r="I25" s="86"/>
      <c r="J25" s="1"/>
    </row>
    <row r="26" spans="1:10" ht="15" customHeight="1">
      <c r="A26" s="1"/>
      <c r="B26" s="84"/>
      <c r="C26" s="85"/>
      <c r="D26" s="85"/>
      <c r="E26" s="85"/>
      <c r="F26" s="85"/>
      <c r="G26" s="85"/>
      <c r="H26" s="85"/>
      <c r="I26" s="86"/>
      <c r="J26" s="1"/>
    </row>
    <row r="27" spans="1:10" ht="15" customHeight="1">
      <c r="A27" s="1"/>
      <c r="B27" s="84"/>
      <c r="C27" s="85"/>
      <c r="D27" s="85"/>
      <c r="E27" s="85"/>
      <c r="F27" s="85"/>
      <c r="G27" s="85"/>
      <c r="H27" s="85"/>
      <c r="I27" s="86"/>
      <c r="J27" s="1"/>
    </row>
    <row r="28" spans="1:10" ht="15" customHeight="1">
      <c r="A28" s="1"/>
      <c r="B28" s="84"/>
      <c r="C28" s="85"/>
      <c r="D28" s="85"/>
      <c r="E28" s="85"/>
      <c r="F28" s="85"/>
      <c r="G28" s="85"/>
      <c r="H28" s="85"/>
      <c r="I28" s="86"/>
      <c r="J28" s="1"/>
    </row>
    <row r="29" spans="1:10" ht="49.5" customHeight="1">
      <c r="A29" s="1"/>
      <c r="B29" s="84"/>
      <c r="C29" s="85"/>
      <c r="D29" s="85"/>
      <c r="E29" s="85"/>
      <c r="F29" s="85"/>
      <c r="G29" s="85"/>
      <c r="H29" s="85"/>
      <c r="I29" s="86"/>
      <c r="J29" s="1"/>
    </row>
    <row r="30" spans="1:10" ht="15" customHeight="1">
      <c r="A30" s="15"/>
      <c r="B30" s="84"/>
      <c r="C30" s="85"/>
      <c r="D30" s="85"/>
      <c r="E30" s="85"/>
      <c r="F30" s="85"/>
      <c r="G30" s="85"/>
      <c r="H30" s="85"/>
      <c r="I30" s="86"/>
      <c r="J30" s="1"/>
    </row>
    <row r="31" spans="1:10" ht="15" customHeight="1">
      <c r="A31" s="15"/>
      <c r="B31" s="84"/>
      <c r="C31" s="85"/>
      <c r="D31" s="85"/>
      <c r="E31" s="85"/>
      <c r="F31" s="85"/>
      <c r="G31" s="85"/>
      <c r="H31" s="85"/>
      <c r="I31" s="86"/>
      <c r="J31" s="1"/>
    </row>
    <row r="32" spans="1:10" ht="15" customHeight="1" thickBot="1">
      <c r="A32" s="15"/>
      <c r="B32" s="87"/>
      <c r="C32" s="88"/>
      <c r="D32" s="88"/>
      <c r="E32" s="88"/>
      <c r="F32" s="88"/>
      <c r="G32" s="88"/>
      <c r="H32" s="88"/>
      <c r="I32" s="89"/>
      <c r="J32" s="1"/>
    </row>
    <row r="33" spans="1:10" ht="15" customHeight="1">
      <c r="A33" s="15"/>
      <c r="B33" s="58"/>
      <c r="C33" s="58"/>
      <c r="D33" s="58"/>
      <c r="E33" s="58"/>
      <c r="F33" s="58"/>
      <c r="G33" s="58"/>
      <c r="H33" s="58"/>
      <c r="I33" s="58"/>
      <c r="J33" s="1"/>
    </row>
    <row r="34" spans="1:10" ht="15" customHeight="1">
      <c r="B34" s="58"/>
      <c r="C34" s="58"/>
      <c r="D34" s="58"/>
      <c r="E34" s="58"/>
      <c r="F34" s="58"/>
      <c r="G34" s="58"/>
      <c r="H34" s="58"/>
      <c r="I34" s="58"/>
    </row>
    <row r="35" spans="1:10">
      <c r="E35" s="1"/>
      <c r="F35" s="25"/>
      <c r="G35" s="25"/>
      <c r="H35" s="1"/>
      <c r="I35" s="1"/>
    </row>
  </sheetData>
  <sheetProtection algorithmName="SHA-512" hashValue="wBd6cpsXj+bcAkwLsvpS2ox8dqGxIkp8drOfLZ1kWauaY+Pl1dw2441MlRn0ZqZoHr3bC0RCw5s3bwXTdGpLgg==" saltValue="XzUzBHXrolVFAZ52zx3/nQ==" spinCount="100000" sheet="1" objects="1" scenarios="1"/>
  <mergeCells count="14">
    <mergeCell ref="B1:C2"/>
    <mergeCell ref="E3:F3"/>
    <mergeCell ref="E4:F4"/>
    <mergeCell ref="B9:C9"/>
    <mergeCell ref="E5:E11"/>
    <mergeCell ref="E1:I2"/>
    <mergeCell ref="B10:C10"/>
    <mergeCell ref="B17:I18"/>
    <mergeCell ref="B19:I32"/>
    <mergeCell ref="B12:C12"/>
    <mergeCell ref="E12:F12"/>
    <mergeCell ref="B13:C15"/>
    <mergeCell ref="E13:E14"/>
    <mergeCell ref="E15:F15"/>
  </mergeCells>
  <pageMargins left="0.7" right="0.7" top="0.75" bottom="0.75" header="0.3" footer="0.3"/>
  <pageSetup paperSize="9" orientation="portrait" r:id="rId1"/>
  <ignoredErrors>
    <ignoredError sqref="I10 I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6E470-A0D9-480F-887E-A582F4251E11}">
  <dimension ref="A1:I34"/>
  <sheetViews>
    <sheetView topLeftCell="A13" zoomScale="85" zoomScaleNormal="85" workbookViewId="0">
      <selection activeCell="D19" sqref="D19:D21"/>
    </sheetView>
  </sheetViews>
  <sheetFormatPr defaultColWidth="9.140625" defaultRowHeight="15"/>
  <cols>
    <col min="1" max="1" width="9.140625" style="4"/>
    <col min="2" max="2" width="24.7109375" style="4" bestFit="1" customWidth="1"/>
    <col min="3" max="3" width="24.42578125" style="4" bestFit="1" customWidth="1"/>
    <col min="4" max="4" width="25" style="4" customWidth="1"/>
    <col min="5" max="6" width="11.5703125" style="4" bestFit="1" customWidth="1"/>
    <col min="7" max="7" width="32.5703125" style="4" bestFit="1" customWidth="1"/>
    <col min="8" max="8" width="10.42578125" style="4" bestFit="1" customWidth="1"/>
    <col min="9" max="9" width="24.28515625" style="4" bestFit="1" customWidth="1"/>
    <col min="10" max="16384" width="9.140625" style="4"/>
  </cols>
  <sheetData>
    <row r="1" spans="2:9" ht="31.5">
      <c r="B1" s="27" t="s">
        <v>29</v>
      </c>
      <c r="C1" s="28" t="s">
        <v>30</v>
      </c>
      <c r="D1" s="29" t="s">
        <v>31</v>
      </c>
    </row>
    <row r="2" spans="2:9">
      <c r="B2" s="30">
        <v>0</v>
      </c>
      <c r="C2" s="31">
        <v>0</v>
      </c>
      <c r="D2" s="32">
        <v>0</v>
      </c>
      <c r="G2" s="103" t="s">
        <v>32</v>
      </c>
      <c r="H2" s="103"/>
      <c r="I2" s="103"/>
    </row>
    <row r="3" spans="2:9" ht="15.75">
      <c r="B3" s="33">
        <v>1904</v>
      </c>
      <c r="C3" s="34">
        <v>7.4999999999999997E-2</v>
      </c>
      <c r="D3" s="35">
        <v>142.80000000000001</v>
      </c>
      <c r="G3" s="36" t="s">
        <v>33</v>
      </c>
      <c r="H3" s="36" t="s">
        <v>30</v>
      </c>
      <c r="I3" s="36" t="s">
        <v>34</v>
      </c>
    </row>
    <row r="4" spans="2:9" ht="15.75">
      <c r="B4" s="33">
        <v>2826.66</v>
      </c>
      <c r="C4" s="37">
        <v>0.15</v>
      </c>
      <c r="D4" s="35">
        <v>354.8</v>
      </c>
      <c r="G4" s="38" t="s">
        <v>35</v>
      </c>
      <c r="H4" s="39" t="s">
        <v>36</v>
      </c>
      <c r="I4" s="39" t="s">
        <v>36</v>
      </c>
    </row>
    <row r="5" spans="2:9" ht="15.75">
      <c r="B5" s="33">
        <v>3751.06</v>
      </c>
      <c r="C5" s="34">
        <v>0.22500000000000001</v>
      </c>
      <c r="D5" s="35">
        <v>636.13</v>
      </c>
      <c r="G5" s="38" t="s">
        <v>37</v>
      </c>
      <c r="H5" s="38">
        <v>7.5</v>
      </c>
      <c r="I5" s="40">
        <v>1713.58</v>
      </c>
    </row>
    <row r="6" spans="2:9" ht="15.75">
      <c r="B6" s="41">
        <v>4664.68</v>
      </c>
      <c r="C6" s="42">
        <v>0.27500000000000002</v>
      </c>
      <c r="D6" s="43">
        <v>869.36</v>
      </c>
      <c r="G6" s="38" t="s">
        <v>38</v>
      </c>
      <c r="H6" s="38">
        <v>15</v>
      </c>
      <c r="I6" s="40">
        <v>4257.57</v>
      </c>
    </row>
    <row r="7" spans="2:9">
      <c r="G7" s="38" t="s">
        <v>39</v>
      </c>
      <c r="H7" s="38">
        <v>22.5</v>
      </c>
      <c r="I7" s="40">
        <v>7633.51</v>
      </c>
    </row>
    <row r="8" spans="2:9" ht="31.5">
      <c r="B8" s="27" t="s">
        <v>29</v>
      </c>
      <c r="C8" s="28" t="s">
        <v>30</v>
      </c>
      <c r="D8" s="29" t="s">
        <v>31</v>
      </c>
      <c r="G8" s="38" t="s">
        <v>40</v>
      </c>
      <c r="H8" s="38">
        <v>27.5</v>
      </c>
      <c r="I8" s="40">
        <v>10432.32</v>
      </c>
    </row>
    <row r="9" spans="2:9">
      <c r="B9" s="30">
        <v>0</v>
      </c>
      <c r="C9" s="31">
        <v>0</v>
      </c>
      <c r="D9" s="44">
        <v>0</v>
      </c>
    </row>
    <row r="10" spans="2:9" ht="15.75">
      <c r="B10" s="33">
        <v>22847.77</v>
      </c>
      <c r="C10" s="34">
        <v>7.4999999999999997E-2</v>
      </c>
      <c r="D10" s="45">
        <v>1713.58</v>
      </c>
      <c r="F10" s="4" t="s">
        <v>41</v>
      </c>
      <c r="G10" s="4">
        <v>5839.45</v>
      </c>
      <c r="I10" s="4">
        <v>189625.25933333335</v>
      </c>
    </row>
    <row r="11" spans="2:9" ht="15.75">
      <c r="B11" s="33">
        <v>33919.81</v>
      </c>
      <c r="C11" s="37">
        <v>0.15</v>
      </c>
      <c r="D11" s="45">
        <v>4257.57</v>
      </c>
      <c r="F11" s="4">
        <f>B5*1+Tabelas!C3</f>
        <v>3751.1349999999998</v>
      </c>
      <c r="I11" s="4">
        <f>I10*0.275-I8</f>
        <v>41714.626316666676</v>
      </c>
    </row>
    <row r="12" spans="2:9" ht="15.75">
      <c r="B12" s="33">
        <v>45012.61</v>
      </c>
      <c r="C12" s="34">
        <v>0.22500000000000001</v>
      </c>
      <c r="D12" s="45">
        <v>7633.51</v>
      </c>
    </row>
    <row r="13" spans="2:9" ht="15.75">
      <c r="B13" s="41">
        <v>55976.17</v>
      </c>
      <c r="C13" s="42">
        <v>0.27500000000000002</v>
      </c>
      <c r="D13" s="46">
        <v>10432.32</v>
      </c>
    </row>
    <row r="14" spans="2:9">
      <c r="B14" s="4">
        <f>1212*13</f>
        <v>15756</v>
      </c>
      <c r="G14" s="103" t="s">
        <v>42</v>
      </c>
      <c r="H14" s="103"/>
      <c r="I14" s="103"/>
    </row>
    <row r="15" spans="2:9">
      <c r="G15" s="36" t="s">
        <v>33</v>
      </c>
      <c r="H15" s="36" t="s">
        <v>30</v>
      </c>
      <c r="I15" s="36" t="s">
        <v>34</v>
      </c>
    </row>
    <row r="16" spans="2:9">
      <c r="B16" s="106" t="s">
        <v>11</v>
      </c>
      <c r="C16" s="106"/>
      <c r="D16" s="106"/>
      <c r="E16" t="s">
        <v>43</v>
      </c>
      <c r="F16" t="s">
        <v>41</v>
      </c>
      <c r="G16" s="38" t="s">
        <v>44</v>
      </c>
      <c r="H16" s="39" t="s">
        <v>36</v>
      </c>
      <c r="I16" s="39" t="s">
        <v>36</v>
      </c>
    </row>
    <row r="17" spans="1:9" ht="31.5">
      <c r="B17" s="27" t="s">
        <v>29</v>
      </c>
      <c r="C17" s="28" t="s">
        <v>30</v>
      </c>
      <c r="D17" s="29" t="s">
        <v>45</v>
      </c>
      <c r="E17" s="56">
        <f>7087.22*(12)</f>
        <v>85046.64</v>
      </c>
      <c r="F17" s="57">
        <f>7087.22*14%*(12)-D21</f>
        <v>9940.6696000000011</v>
      </c>
      <c r="G17" s="38" t="s">
        <v>46</v>
      </c>
      <c r="H17" s="38">
        <v>7.5</v>
      </c>
      <c r="I17" s="40">
        <v>142.80000000000001</v>
      </c>
    </row>
    <row r="18" spans="1:9" ht="15.75">
      <c r="A18" s="60"/>
      <c r="B18" s="30"/>
      <c r="C18" s="34">
        <v>7.4999999999999997E-2</v>
      </c>
      <c r="D18" s="44">
        <v>0</v>
      </c>
      <c r="E18" s="47"/>
      <c r="F18" s="47"/>
      <c r="G18" s="38" t="s">
        <v>47</v>
      </c>
      <c r="H18" s="38">
        <v>15</v>
      </c>
      <c r="I18" s="40">
        <v>354.8</v>
      </c>
    </row>
    <row r="19" spans="1:9" ht="15.75">
      <c r="B19" s="33">
        <v>14544.119999999999</v>
      </c>
      <c r="C19" s="34">
        <v>0.09</v>
      </c>
      <c r="D19" s="45">
        <v>218.16</v>
      </c>
      <c r="E19" s="47"/>
      <c r="F19" s="47"/>
      <c r="G19" s="38" t="s">
        <v>48</v>
      </c>
      <c r="H19" s="38">
        <v>22.5</v>
      </c>
      <c r="I19" s="40">
        <v>636.13</v>
      </c>
    </row>
    <row r="20" spans="1:9" ht="15.75">
      <c r="B20" s="33">
        <v>29128.32</v>
      </c>
      <c r="C20" s="34">
        <v>0.12</v>
      </c>
      <c r="D20" s="45">
        <v>1092.01</v>
      </c>
      <c r="E20" s="47"/>
      <c r="F20" s="47"/>
      <c r="G20" s="38" t="s">
        <v>49</v>
      </c>
      <c r="H20" s="38">
        <v>27.5</v>
      </c>
      <c r="I20" s="40">
        <v>869.36</v>
      </c>
    </row>
    <row r="21" spans="1:9" ht="15.75">
      <c r="B21" s="41">
        <v>43692.479999999996</v>
      </c>
      <c r="C21" s="42">
        <v>0.14000000000000001</v>
      </c>
      <c r="D21" s="46">
        <v>1965.86</v>
      </c>
      <c r="E21" s="47"/>
      <c r="F21" s="47"/>
    </row>
    <row r="22" spans="1:9">
      <c r="E22" s="48"/>
      <c r="F22" s="48"/>
    </row>
    <row r="23" spans="1:9">
      <c r="C23" s="60"/>
      <c r="E23" s="48"/>
      <c r="F23" s="48"/>
    </row>
    <row r="24" spans="1:9" ht="15.75" thickBot="1">
      <c r="B24" s="104" t="s">
        <v>50</v>
      </c>
      <c r="C24" s="104"/>
    </row>
    <row r="25" spans="1:9" ht="16.5" thickBot="1">
      <c r="B25" s="49" t="s">
        <v>51</v>
      </c>
      <c r="C25" s="50">
        <v>3561.5</v>
      </c>
    </row>
    <row r="26" spans="1:9" ht="16.5" thickBot="1">
      <c r="B26" s="51" t="s">
        <v>52</v>
      </c>
      <c r="C26" s="50">
        <v>2275.08</v>
      </c>
    </row>
    <row r="27" spans="1:9" ht="16.5" thickBot="1">
      <c r="B27" s="52" t="s">
        <v>53</v>
      </c>
      <c r="C27" s="53">
        <v>16754.34</v>
      </c>
    </row>
    <row r="29" spans="1:9">
      <c r="B29" s="105" t="s">
        <v>54</v>
      </c>
      <c r="C29" s="105"/>
      <c r="D29" s="105"/>
      <c r="E29" s="48"/>
      <c r="F29" s="48"/>
    </row>
    <row r="30" spans="1:9" ht="16.5" thickBot="1">
      <c r="B30" s="54" t="s">
        <v>55</v>
      </c>
      <c r="C30" s="54" t="s">
        <v>56</v>
      </c>
      <c r="D30" s="54" t="s">
        <v>57</v>
      </c>
      <c r="E30" s="48"/>
      <c r="F30" s="48"/>
    </row>
    <row r="31" spans="1:9" ht="16.5" thickBot="1">
      <c r="B31" s="52" t="s">
        <v>58</v>
      </c>
      <c r="C31" s="55">
        <v>0.02</v>
      </c>
      <c r="D31" s="55">
        <f>(1+C31)^(1/12)-1</f>
        <v>1.6515813019202241E-3</v>
      </c>
      <c r="E31" s="48"/>
      <c r="F31" s="48"/>
    </row>
    <row r="32" spans="1:9" ht="16.5" thickBot="1">
      <c r="B32" s="54" t="s">
        <v>59</v>
      </c>
      <c r="C32" s="55">
        <v>1.4999999999999999E-2</v>
      </c>
      <c r="D32" s="55">
        <f t="shared" ref="D32:D33" si="0">(1+C32)^(1/12)-1</f>
        <v>1.2414877164492744E-3</v>
      </c>
      <c r="E32" s="48"/>
      <c r="F32" s="48"/>
      <c r="G32" s="47"/>
    </row>
    <row r="33" spans="2:7" ht="16.5" thickBot="1">
      <c r="B33" s="54" t="s">
        <v>60</v>
      </c>
      <c r="C33" s="55">
        <f>(1+C31)/(1+C32)-1</f>
        <v>4.9261083743843415E-3</v>
      </c>
      <c r="D33" s="55">
        <f t="shared" si="0"/>
        <v>4.095850906120635E-4</v>
      </c>
      <c r="E33" s="48"/>
      <c r="F33" s="48"/>
      <c r="G33" s="48"/>
    </row>
    <row r="34" spans="2:7">
      <c r="G34" s="48"/>
    </row>
  </sheetData>
  <mergeCells count="5">
    <mergeCell ref="G2:I2"/>
    <mergeCell ref="G14:I14"/>
    <mergeCell ref="B24:C24"/>
    <mergeCell ref="B29:D29"/>
    <mergeCell ref="B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Padovan</dc:creator>
  <cp:keywords/>
  <dc:description/>
  <cp:lastModifiedBy>Vinicius Silva</cp:lastModifiedBy>
  <cp:revision/>
  <dcterms:created xsi:type="dcterms:W3CDTF">2020-11-06T19:32:21Z</dcterms:created>
  <dcterms:modified xsi:type="dcterms:W3CDTF">2022-11-21T20:52:19Z</dcterms:modified>
  <cp:category/>
  <cp:contentStatus/>
</cp:coreProperties>
</file>