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2/"/>
    </mc:Choice>
  </mc:AlternateContent>
  <xr:revisionPtr revIDLastSave="0" documentId="8_{7B2672EA-A2F5-434A-8C76-BEDC89E39D7B}" xr6:coauthVersionLast="47" xr6:coauthVersionMax="47" xr10:uidLastSave="{00000000-0000-0000-0000-000000000000}"/>
  <bookViews>
    <workbookView xWindow="5505" yWindow="18645" windowWidth="26565" windowHeight="13515" xr2:uid="{E870E89C-C563-49C4-A457-D520F667517B}"/>
  </bookViews>
  <sheets>
    <sheet name="clientes" sheetId="4" r:id="rId1"/>
    <sheet name="master" sheetId="1" r:id="rId2"/>
    <sheet name="Planilha2" sheetId="2" r:id="rId3"/>
    <sheet name="Planilha3" sheetId="3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" i="1" l="1"/>
  <c r="Z15" i="1"/>
  <c r="Z21" i="1"/>
  <c r="X5" i="1"/>
  <c r="X11" i="1"/>
  <c r="X18" i="1"/>
  <c r="X24" i="1"/>
  <c r="X4" i="1"/>
  <c r="V8" i="1"/>
  <c r="V15" i="1"/>
  <c r="V21" i="1"/>
  <c r="P2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4" i="1"/>
  <c r="J16" i="1"/>
  <c r="J17" i="1"/>
  <c r="J18" i="1"/>
  <c r="J19" i="1"/>
  <c r="J20" i="1"/>
  <c r="J21" i="1"/>
  <c r="J22" i="1"/>
  <c r="J23" i="1"/>
  <c r="J24" i="1"/>
  <c r="J15" i="1"/>
  <c r="H16" i="1"/>
  <c r="H17" i="1"/>
  <c r="H18" i="1"/>
  <c r="H19" i="1"/>
  <c r="H20" i="1"/>
  <c r="H21" i="1"/>
  <c r="H22" i="1"/>
  <c r="H23" i="1"/>
  <c r="H24" i="1"/>
  <c r="L5" i="1"/>
  <c r="Q5" i="1" s="1"/>
  <c r="M5" i="1"/>
  <c r="L6" i="1"/>
  <c r="Q6" i="1" s="1"/>
  <c r="M6" i="1"/>
  <c r="L7" i="1"/>
  <c r="Q7" i="1" s="1"/>
  <c r="M7" i="1"/>
  <c r="L8" i="1"/>
  <c r="Q8" i="1" s="1"/>
  <c r="M8" i="1"/>
  <c r="L9" i="1"/>
  <c r="Q9" i="1" s="1"/>
  <c r="M9" i="1"/>
  <c r="L10" i="1"/>
  <c r="Q10" i="1" s="1"/>
  <c r="M10" i="1"/>
  <c r="L11" i="1"/>
  <c r="Q11" i="1" s="1"/>
  <c r="M11" i="1"/>
  <c r="L12" i="1"/>
  <c r="Q12" i="1" s="1"/>
  <c r="M12" i="1"/>
  <c r="L13" i="1"/>
  <c r="Q13" i="1" s="1"/>
  <c r="M13" i="1"/>
  <c r="L15" i="1"/>
  <c r="Q15" i="1" s="1"/>
  <c r="M15" i="1"/>
  <c r="L16" i="1"/>
  <c r="Q16" i="1" s="1"/>
  <c r="M16" i="1"/>
  <c r="L17" i="1"/>
  <c r="Q17" i="1" s="1"/>
  <c r="M17" i="1"/>
  <c r="L18" i="1"/>
  <c r="Q18" i="1" s="1"/>
  <c r="M18" i="1"/>
  <c r="L19" i="1"/>
  <c r="Q19" i="1" s="1"/>
  <c r="M19" i="1"/>
  <c r="L20" i="1"/>
  <c r="Q20" i="1" s="1"/>
  <c r="M20" i="1"/>
  <c r="L21" i="1"/>
  <c r="Q21" i="1" s="1"/>
  <c r="M21" i="1"/>
  <c r="L22" i="1"/>
  <c r="Q22" i="1" s="1"/>
  <c r="M22" i="1"/>
  <c r="L23" i="1"/>
  <c r="Q23" i="1" s="1"/>
  <c r="M23" i="1"/>
  <c r="L24" i="1"/>
  <c r="Q24" i="1" s="1"/>
  <c r="M24" i="1"/>
  <c r="H15" i="1"/>
  <c r="F16" i="1"/>
  <c r="N16" i="1" s="1"/>
  <c r="F17" i="1"/>
  <c r="N17" i="1" s="1"/>
  <c r="F18" i="1"/>
  <c r="N18" i="1" s="1"/>
  <c r="F19" i="1"/>
  <c r="N19" i="1" s="1"/>
  <c r="F20" i="1"/>
  <c r="N20" i="1" s="1"/>
  <c r="F21" i="1"/>
  <c r="N21" i="1" s="1"/>
  <c r="F22" i="1"/>
  <c r="N22" i="1" s="1"/>
  <c r="F23" i="1"/>
  <c r="N23" i="1" s="1"/>
  <c r="F24" i="1"/>
  <c r="N24" i="1" s="1"/>
  <c r="F15" i="1"/>
  <c r="N15" i="1" s="1"/>
  <c r="L4" i="1"/>
  <c r="Q4" i="1" s="1"/>
  <c r="M4" i="1"/>
  <c r="H5" i="1"/>
  <c r="J5" i="1"/>
  <c r="H6" i="1"/>
  <c r="J6" i="1"/>
  <c r="H7" i="1"/>
  <c r="J7" i="1"/>
  <c r="H8" i="1"/>
  <c r="J8" i="1"/>
  <c r="H9" i="1"/>
  <c r="J9" i="1"/>
  <c r="H10" i="1"/>
  <c r="J10" i="1"/>
  <c r="H11" i="1"/>
  <c r="J11" i="1"/>
  <c r="H12" i="1"/>
  <c r="J12" i="1"/>
  <c r="H13" i="1"/>
  <c r="J13" i="1"/>
  <c r="J4" i="1"/>
  <c r="H4" i="1"/>
  <c r="F5" i="1"/>
  <c r="F6" i="1"/>
  <c r="F7" i="1"/>
  <c r="F8" i="1"/>
  <c r="F9" i="1"/>
  <c r="F10" i="1"/>
  <c r="F11" i="1"/>
  <c r="F12" i="1"/>
  <c r="F13" i="1"/>
  <c r="F4" i="1"/>
  <c r="A2" i="3" a="1"/>
  <c r="A2" i="3" s="1"/>
  <c r="B2" i="3" a="1"/>
  <c r="B2" i="3" s="1"/>
  <c r="D2" i="3" a="1"/>
  <c r="D2" i="3" s="1"/>
  <c r="E2" i="3" a="1"/>
  <c r="E2" i="3" s="1"/>
  <c r="F2" i="3" a="1"/>
  <c r="F2" i="3" s="1"/>
  <c r="G2" i="3" a="1"/>
  <c r="G2" i="3" s="1"/>
  <c r="H2" i="3" a="1"/>
  <c r="H2" i="3" s="1"/>
  <c r="I2" i="3" a="1"/>
  <c r="I2" i="3" s="1"/>
  <c r="J2" i="3" a="1"/>
  <c r="J2" i="3" s="1"/>
  <c r="K2" i="3" a="1"/>
  <c r="K2" i="3" s="1"/>
  <c r="L2" i="3" a="1"/>
  <c r="L2" i="3" s="1"/>
  <c r="M2" i="3" a="1"/>
  <c r="M2" i="3" s="1"/>
  <c r="N2" i="3" a="1"/>
  <c r="N2" i="3" s="1"/>
  <c r="O2" i="3" a="1"/>
  <c r="O2" i="3" s="1"/>
  <c r="P2" i="3" a="1"/>
  <c r="P2" i="3" s="1"/>
  <c r="Q2" i="3" a="1"/>
  <c r="Q2" i="3" s="1"/>
  <c r="A3" i="3" a="1"/>
  <c r="A3" i="3" s="1"/>
  <c r="B3" i="3" a="1"/>
  <c r="B3" i="3" s="1"/>
  <c r="D3" i="3" a="1"/>
  <c r="D3" i="3" s="1"/>
  <c r="E3" i="3" a="1"/>
  <c r="E3" i="3" s="1"/>
  <c r="F3" i="3" a="1"/>
  <c r="F3" i="3" s="1"/>
  <c r="G3" i="3" a="1"/>
  <c r="G3" i="3" s="1"/>
  <c r="H3" i="3" a="1"/>
  <c r="H3" i="3" s="1"/>
  <c r="I3" i="3" a="1"/>
  <c r="I3" i="3" s="1"/>
  <c r="J3" i="3" a="1"/>
  <c r="J3" i="3" s="1"/>
  <c r="K3" i="3" a="1"/>
  <c r="K3" i="3" s="1"/>
  <c r="L3" i="3" a="1"/>
  <c r="L3" i="3" s="1"/>
  <c r="M3" i="3" a="1"/>
  <c r="M3" i="3" s="1"/>
  <c r="N3" i="3" a="1"/>
  <c r="N3" i="3" s="1"/>
  <c r="O3" i="3" a="1"/>
  <c r="O3" i="3" s="1"/>
  <c r="P3" i="3" a="1"/>
  <c r="P3" i="3" s="1"/>
  <c r="Q3" i="3" a="1"/>
  <c r="Q3" i="3" s="1"/>
  <c r="A4" i="3" a="1"/>
  <c r="A4" i="3" s="1"/>
  <c r="B4" i="3" a="1"/>
  <c r="B4" i="3" s="1"/>
  <c r="D4" i="3" a="1"/>
  <c r="D4" i="3" s="1"/>
  <c r="E4" i="3" a="1"/>
  <c r="E4" i="3" s="1"/>
  <c r="F4" i="3" a="1"/>
  <c r="F4" i="3" s="1"/>
  <c r="G4" i="3" a="1"/>
  <c r="G4" i="3" s="1"/>
  <c r="H4" i="3" a="1"/>
  <c r="H4" i="3" s="1"/>
  <c r="I4" i="3" a="1"/>
  <c r="I4" i="3" s="1"/>
  <c r="J4" i="3" a="1"/>
  <c r="J4" i="3" s="1"/>
  <c r="K4" i="3" a="1"/>
  <c r="K4" i="3" s="1"/>
  <c r="L4" i="3" a="1"/>
  <c r="L4" i="3" s="1"/>
  <c r="M4" i="3" a="1"/>
  <c r="M4" i="3" s="1"/>
  <c r="N4" i="3" a="1"/>
  <c r="N4" i="3" s="1"/>
  <c r="O4" i="3" a="1"/>
  <c r="O4" i="3" s="1"/>
  <c r="P4" i="3" a="1"/>
  <c r="P4" i="3" s="1"/>
  <c r="Q4" i="3" a="1"/>
  <c r="Q4" i="3" s="1"/>
  <c r="A5" i="3" a="1"/>
  <c r="A5" i="3" s="1"/>
  <c r="B5" i="3" a="1"/>
  <c r="B5" i="3" s="1"/>
  <c r="D5" i="3" a="1"/>
  <c r="D5" i="3" s="1"/>
  <c r="E5" i="3" a="1"/>
  <c r="E5" i="3" s="1"/>
  <c r="F5" i="3" a="1"/>
  <c r="F5" i="3" s="1"/>
  <c r="G5" i="3" a="1"/>
  <c r="G5" i="3" s="1"/>
  <c r="H5" i="3" a="1"/>
  <c r="H5" i="3" s="1"/>
  <c r="I5" i="3" a="1"/>
  <c r="I5" i="3" s="1"/>
  <c r="J5" i="3" a="1"/>
  <c r="J5" i="3" s="1"/>
  <c r="K5" i="3" a="1"/>
  <c r="K5" i="3" s="1"/>
  <c r="L5" i="3" a="1"/>
  <c r="L5" i="3" s="1"/>
  <c r="M5" i="3" a="1"/>
  <c r="M5" i="3" s="1"/>
  <c r="N5" i="3" a="1"/>
  <c r="N5" i="3" s="1"/>
  <c r="O5" i="3" a="1"/>
  <c r="O5" i="3" s="1"/>
  <c r="P5" i="3" a="1"/>
  <c r="P5" i="3" s="1"/>
  <c r="Q5" i="3" a="1"/>
  <c r="Q5" i="3" s="1"/>
  <c r="A6" i="3" a="1"/>
  <c r="A6" i="3" s="1"/>
  <c r="B6" i="3" a="1"/>
  <c r="B6" i="3" s="1"/>
  <c r="D6" i="3" a="1"/>
  <c r="D6" i="3" s="1"/>
  <c r="E6" i="3" a="1"/>
  <c r="E6" i="3" s="1"/>
  <c r="F6" i="3" a="1"/>
  <c r="F6" i="3" s="1"/>
  <c r="G6" i="3" a="1"/>
  <c r="G6" i="3" s="1"/>
  <c r="H6" i="3" a="1"/>
  <c r="H6" i="3" s="1"/>
  <c r="I6" i="3" a="1"/>
  <c r="I6" i="3" s="1"/>
  <c r="J6" i="3" a="1"/>
  <c r="J6" i="3" s="1"/>
  <c r="K6" i="3" a="1"/>
  <c r="K6" i="3" s="1"/>
  <c r="L6" i="3" a="1"/>
  <c r="L6" i="3" s="1"/>
  <c r="M6" i="3" a="1"/>
  <c r="M6" i="3" s="1"/>
  <c r="N6" i="3" a="1"/>
  <c r="N6" i="3" s="1"/>
  <c r="O6" i="3" a="1"/>
  <c r="O6" i="3" s="1"/>
  <c r="P6" i="3" a="1"/>
  <c r="P6" i="3" s="1"/>
  <c r="Q6" i="3" a="1"/>
  <c r="Q6" i="3" s="1"/>
  <c r="A7" i="3" a="1"/>
  <c r="A7" i="3" s="1"/>
  <c r="B7" i="3" a="1"/>
  <c r="B7" i="3" s="1"/>
  <c r="D7" i="3" a="1"/>
  <c r="D7" i="3" s="1"/>
  <c r="E7" i="3" a="1"/>
  <c r="E7" i="3" s="1"/>
  <c r="F7" i="3" a="1"/>
  <c r="F7" i="3" s="1"/>
  <c r="G7" i="3" a="1"/>
  <c r="G7" i="3" s="1"/>
  <c r="H7" i="3" a="1"/>
  <c r="H7" i="3" s="1"/>
  <c r="I7" i="3" a="1"/>
  <c r="I7" i="3" s="1"/>
  <c r="J7" i="3" a="1"/>
  <c r="J7" i="3" s="1"/>
  <c r="K7" i="3" a="1"/>
  <c r="K7" i="3" s="1"/>
  <c r="L7" i="3" a="1"/>
  <c r="L7" i="3" s="1"/>
  <c r="M7" i="3" a="1"/>
  <c r="M7" i="3" s="1"/>
  <c r="N7" i="3" a="1"/>
  <c r="N7" i="3" s="1"/>
  <c r="O7" i="3" a="1"/>
  <c r="O7" i="3" s="1"/>
  <c r="P7" i="3" a="1"/>
  <c r="P7" i="3" s="1"/>
  <c r="Q7" i="3" a="1"/>
  <c r="Q7" i="3" s="1"/>
  <c r="A8" i="3" a="1"/>
  <c r="A8" i="3" s="1"/>
  <c r="B8" i="3" a="1"/>
  <c r="B8" i="3" s="1"/>
  <c r="D8" i="3" a="1"/>
  <c r="D8" i="3" s="1"/>
  <c r="E8" i="3" a="1"/>
  <c r="E8" i="3" s="1"/>
  <c r="F8" i="3" a="1"/>
  <c r="F8" i="3" s="1"/>
  <c r="G8" i="3" a="1"/>
  <c r="G8" i="3" s="1"/>
  <c r="H8" i="3" a="1"/>
  <c r="H8" i="3" s="1"/>
  <c r="I8" i="3" a="1"/>
  <c r="I8" i="3" s="1"/>
  <c r="J8" i="3" a="1"/>
  <c r="J8" i="3" s="1"/>
  <c r="K8" i="3" a="1"/>
  <c r="K8" i="3" s="1"/>
  <c r="L8" i="3" a="1"/>
  <c r="L8" i="3" s="1"/>
  <c r="M8" i="3" a="1"/>
  <c r="M8" i="3" s="1"/>
  <c r="N8" i="3" a="1"/>
  <c r="N8" i="3" s="1"/>
  <c r="O8" i="3" a="1"/>
  <c r="O8" i="3" s="1"/>
  <c r="P8" i="3" a="1"/>
  <c r="P8" i="3" s="1"/>
  <c r="Q8" i="3" a="1"/>
  <c r="Q8" i="3" s="1"/>
  <c r="A9" i="3" a="1"/>
  <c r="A9" i="3" s="1"/>
  <c r="B9" i="3" a="1"/>
  <c r="B9" i="3" s="1"/>
  <c r="D9" i="3" a="1"/>
  <c r="D9" i="3" s="1"/>
  <c r="E9" i="3" a="1"/>
  <c r="E9" i="3" s="1"/>
  <c r="F9" i="3" a="1"/>
  <c r="F9" i="3" s="1"/>
  <c r="G9" i="3" a="1"/>
  <c r="G9" i="3" s="1"/>
  <c r="H9" i="3" a="1"/>
  <c r="H9" i="3" s="1"/>
  <c r="I9" i="3" a="1"/>
  <c r="I9" i="3" s="1"/>
  <c r="J9" i="3" a="1"/>
  <c r="J9" i="3" s="1"/>
  <c r="K9" i="3" a="1"/>
  <c r="K9" i="3" s="1"/>
  <c r="L9" i="3" a="1"/>
  <c r="L9" i="3" s="1"/>
  <c r="M9" i="3" a="1"/>
  <c r="M9" i="3" s="1"/>
  <c r="N9" i="3" a="1"/>
  <c r="N9" i="3" s="1"/>
  <c r="O9" i="3" a="1"/>
  <c r="O9" i="3" s="1"/>
  <c r="P9" i="3" a="1"/>
  <c r="P9" i="3" s="1"/>
  <c r="Q9" i="3" a="1"/>
  <c r="Q9" i="3" s="1"/>
  <c r="A10" i="3" a="1"/>
  <c r="A10" i="3" s="1"/>
  <c r="B10" i="3" a="1"/>
  <c r="B10" i="3" s="1"/>
  <c r="D10" i="3" a="1"/>
  <c r="D10" i="3" s="1"/>
  <c r="E10" i="3" a="1"/>
  <c r="E10" i="3" s="1"/>
  <c r="F10" i="3" a="1"/>
  <c r="F10" i="3" s="1"/>
  <c r="G10" i="3" a="1"/>
  <c r="G10" i="3" s="1"/>
  <c r="H10" i="3" a="1"/>
  <c r="H10" i="3" s="1"/>
  <c r="I10" i="3" a="1"/>
  <c r="I10" i="3" s="1"/>
  <c r="J10" i="3" a="1"/>
  <c r="J10" i="3" s="1"/>
  <c r="K10" i="3" a="1"/>
  <c r="K10" i="3" s="1"/>
  <c r="L10" i="3" a="1"/>
  <c r="L10" i="3" s="1"/>
  <c r="M10" i="3" a="1"/>
  <c r="M10" i="3" s="1"/>
  <c r="N10" i="3" a="1"/>
  <c r="N10" i="3" s="1"/>
  <c r="O10" i="3" a="1"/>
  <c r="O10" i="3" s="1"/>
  <c r="P10" i="3" a="1"/>
  <c r="P10" i="3" s="1"/>
  <c r="Q10" i="3" a="1"/>
  <c r="Q10" i="3" s="1"/>
  <c r="A11" i="3" a="1"/>
  <c r="A11" i="3" s="1"/>
  <c r="B11" i="3" a="1"/>
  <c r="B11" i="3" s="1"/>
  <c r="D11" i="3" a="1"/>
  <c r="D11" i="3" s="1"/>
  <c r="E11" i="3" a="1"/>
  <c r="E11" i="3" s="1"/>
  <c r="F11" i="3" a="1"/>
  <c r="F11" i="3" s="1"/>
  <c r="G11" i="3" a="1"/>
  <c r="G11" i="3" s="1"/>
  <c r="H11" i="3" a="1"/>
  <c r="H11" i="3" s="1"/>
  <c r="I11" i="3" a="1"/>
  <c r="I11" i="3" s="1"/>
  <c r="J11" i="3" a="1"/>
  <c r="J11" i="3" s="1"/>
  <c r="K11" i="3" a="1"/>
  <c r="K11" i="3" s="1"/>
  <c r="L11" i="3" a="1"/>
  <c r="L11" i="3" s="1"/>
  <c r="M11" i="3" a="1"/>
  <c r="M11" i="3" s="1"/>
  <c r="N11" i="3" a="1"/>
  <c r="N11" i="3" s="1"/>
  <c r="O11" i="3" a="1"/>
  <c r="O11" i="3" s="1"/>
  <c r="P11" i="3" a="1"/>
  <c r="P11" i="3" s="1"/>
  <c r="Q11" i="3" a="1"/>
  <c r="Q11" i="3" s="1"/>
  <c r="A12" i="3" a="1"/>
  <c r="A12" i="3" s="1"/>
  <c r="B12" i="3" a="1"/>
  <c r="B12" i="3" s="1"/>
  <c r="D12" i="3" a="1"/>
  <c r="D12" i="3" s="1"/>
  <c r="E12" i="3" a="1"/>
  <c r="E12" i="3" s="1"/>
  <c r="F12" i="3" a="1"/>
  <c r="F12" i="3" s="1"/>
  <c r="G12" i="3" a="1"/>
  <c r="G12" i="3" s="1"/>
  <c r="H12" i="3" a="1"/>
  <c r="H12" i="3" s="1"/>
  <c r="I12" i="3" a="1"/>
  <c r="I12" i="3" s="1"/>
  <c r="J12" i="3" a="1"/>
  <c r="J12" i="3" s="1"/>
  <c r="K12" i="3" a="1"/>
  <c r="K12" i="3" s="1"/>
  <c r="L12" i="3" a="1"/>
  <c r="L12" i="3" s="1"/>
  <c r="M12" i="3" a="1"/>
  <c r="M12" i="3" s="1"/>
  <c r="N12" i="3" a="1"/>
  <c r="N12" i="3" s="1"/>
  <c r="O12" i="3" a="1"/>
  <c r="O12" i="3" s="1"/>
  <c r="P12" i="3" a="1"/>
  <c r="P12" i="3" s="1"/>
  <c r="Q12" i="3" a="1"/>
  <c r="Q12" i="3" s="1"/>
  <c r="A13" i="3" a="1"/>
  <c r="A13" i="3" s="1"/>
  <c r="B13" i="3" a="1"/>
  <c r="B13" i="3" s="1"/>
  <c r="D13" i="3" a="1"/>
  <c r="D13" i="3" s="1"/>
  <c r="E13" i="3" a="1"/>
  <c r="E13" i="3" s="1"/>
  <c r="F13" i="3" a="1"/>
  <c r="F13" i="3" s="1"/>
  <c r="G13" i="3" a="1"/>
  <c r="G13" i="3" s="1"/>
  <c r="H13" i="3" a="1"/>
  <c r="H13" i="3" s="1"/>
  <c r="I13" i="3" a="1"/>
  <c r="I13" i="3" s="1"/>
  <c r="J13" i="3" a="1"/>
  <c r="J13" i="3" s="1"/>
  <c r="K13" i="3" a="1"/>
  <c r="K13" i="3" s="1"/>
  <c r="L13" i="3" a="1"/>
  <c r="L13" i="3" s="1"/>
  <c r="M13" i="3" a="1"/>
  <c r="M13" i="3" s="1"/>
  <c r="N13" i="3" a="1"/>
  <c r="N13" i="3" s="1"/>
  <c r="O13" i="3" a="1"/>
  <c r="O13" i="3" s="1"/>
  <c r="P13" i="3" a="1"/>
  <c r="P13" i="3" s="1"/>
  <c r="Q13" i="3" a="1"/>
  <c r="Q13" i="3" s="1"/>
  <c r="A14" i="3" a="1"/>
  <c r="A14" i="3" s="1"/>
  <c r="B14" i="3" a="1"/>
  <c r="B14" i="3" s="1"/>
  <c r="D14" i="3" a="1"/>
  <c r="D14" i="3" s="1"/>
  <c r="E14" i="3" a="1"/>
  <c r="E14" i="3" s="1"/>
  <c r="F14" i="3" a="1"/>
  <c r="F14" i="3" s="1"/>
  <c r="G14" i="3" a="1"/>
  <c r="G14" i="3" s="1"/>
  <c r="H14" i="3" a="1"/>
  <c r="H14" i="3" s="1"/>
  <c r="I14" i="3" a="1"/>
  <c r="I14" i="3" s="1"/>
  <c r="J14" i="3" a="1"/>
  <c r="J14" i="3" s="1"/>
  <c r="K14" i="3" a="1"/>
  <c r="K14" i="3" s="1"/>
  <c r="L14" i="3" a="1"/>
  <c r="L14" i="3" s="1"/>
  <c r="M14" i="3" a="1"/>
  <c r="M14" i="3" s="1"/>
  <c r="N14" i="3" a="1"/>
  <c r="N14" i="3" s="1"/>
  <c r="O14" i="3" a="1"/>
  <c r="O14" i="3" s="1"/>
  <c r="P14" i="3" a="1"/>
  <c r="P14" i="3" s="1"/>
  <c r="Q14" i="3" a="1"/>
  <c r="Q14" i="3" s="1"/>
  <c r="A15" i="3" a="1"/>
  <c r="A15" i="3" s="1"/>
  <c r="B15" i="3" a="1"/>
  <c r="B15" i="3" s="1"/>
  <c r="D15" i="3" a="1"/>
  <c r="D15" i="3" s="1"/>
  <c r="E15" i="3" a="1"/>
  <c r="E15" i="3" s="1"/>
  <c r="F15" i="3" a="1"/>
  <c r="F15" i="3" s="1"/>
  <c r="G15" i="3" a="1"/>
  <c r="G15" i="3" s="1"/>
  <c r="H15" i="3" a="1"/>
  <c r="H15" i="3" s="1"/>
  <c r="I15" i="3" a="1"/>
  <c r="I15" i="3" s="1"/>
  <c r="J15" i="3" a="1"/>
  <c r="J15" i="3" s="1"/>
  <c r="K15" i="3" a="1"/>
  <c r="K15" i="3" s="1"/>
  <c r="L15" i="3" a="1"/>
  <c r="L15" i="3" s="1"/>
  <c r="M15" i="3" a="1"/>
  <c r="M15" i="3" s="1"/>
  <c r="N15" i="3" a="1"/>
  <c r="N15" i="3" s="1"/>
  <c r="O15" i="3" a="1"/>
  <c r="O15" i="3" s="1"/>
  <c r="P15" i="3" a="1"/>
  <c r="P15" i="3" s="1"/>
  <c r="Q15" i="3" a="1"/>
  <c r="Q15" i="3" s="1"/>
  <c r="A16" i="3" a="1"/>
  <c r="A16" i="3" s="1"/>
  <c r="B16" i="3" a="1"/>
  <c r="B16" i="3" s="1"/>
  <c r="D16" i="3" a="1"/>
  <c r="D16" i="3" s="1"/>
  <c r="E16" i="3" a="1"/>
  <c r="E16" i="3" s="1"/>
  <c r="F16" i="3" a="1"/>
  <c r="F16" i="3" s="1"/>
  <c r="G16" i="3" a="1"/>
  <c r="G16" i="3" s="1"/>
  <c r="H16" i="3" a="1"/>
  <c r="H16" i="3" s="1"/>
  <c r="I16" i="3" a="1"/>
  <c r="I16" i="3" s="1"/>
  <c r="J16" i="3" a="1"/>
  <c r="J16" i="3" s="1"/>
  <c r="K16" i="3" a="1"/>
  <c r="K16" i="3" s="1"/>
  <c r="L16" i="3" a="1"/>
  <c r="L16" i="3" s="1"/>
  <c r="M16" i="3" a="1"/>
  <c r="M16" i="3" s="1"/>
  <c r="N16" i="3" a="1"/>
  <c r="N16" i="3" s="1"/>
  <c r="O16" i="3" a="1"/>
  <c r="O16" i="3" s="1"/>
  <c r="P16" i="3" a="1"/>
  <c r="P16" i="3" s="1"/>
  <c r="Q16" i="3" a="1"/>
  <c r="Q16" i="3" s="1"/>
  <c r="A17" i="3" a="1"/>
  <c r="A17" i="3" s="1"/>
  <c r="B17" i="3" a="1"/>
  <c r="B17" i="3" s="1"/>
  <c r="D17" i="3" a="1"/>
  <c r="D17" i="3" s="1"/>
  <c r="E17" i="3" a="1"/>
  <c r="E17" i="3" s="1"/>
  <c r="F17" i="3" a="1"/>
  <c r="F17" i="3" s="1"/>
  <c r="G17" i="3" a="1"/>
  <c r="G17" i="3" s="1"/>
  <c r="H17" i="3" a="1"/>
  <c r="H17" i="3" s="1"/>
  <c r="I17" i="3" a="1"/>
  <c r="I17" i="3" s="1"/>
  <c r="J17" i="3" a="1"/>
  <c r="J17" i="3" s="1"/>
  <c r="K17" i="3" a="1"/>
  <c r="K17" i="3" s="1"/>
  <c r="L17" i="3" a="1"/>
  <c r="L17" i="3" s="1"/>
  <c r="M17" i="3" a="1"/>
  <c r="M17" i="3" s="1"/>
  <c r="N17" i="3" a="1"/>
  <c r="N17" i="3" s="1"/>
  <c r="O17" i="3" a="1"/>
  <c r="O17" i="3" s="1"/>
  <c r="P17" i="3" a="1"/>
  <c r="P17" i="3" s="1"/>
  <c r="Q17" i="3" a="1"/>
  <c r="Q17" i="3" s="1"/>
  <c r="A18" i="3" a="1"/>
  <c r="A18" i="3" s="1"/>
  <c r="B18" i="3" a="1"/>
  <c r="B18" i="3" s="1"/>
  <c r="D18" i="3" a="1"/>
  <c r="D18" i="3" s="1"/>
  <c r="E18" i="3" a="1"/>
  <c r="E18" i="3" s="1"/>
  <c r="F18" i="3" a="1"/>
  <c r="F18" i="3" s="1"/>
  <c r="G18" i="3" a="1"/>
  <c r="G18" i="3" s="1"/>
  <c r="H18" i="3" a="1"/>
  <c r="H18" i="3" s="1"/>
  <c r="I18" i="3" a="1"/>
  <c r="I18" i="3" s="1"/>
  <c r="J18" i="3" a="1"/>
  <c r="J18" i="3" s="1"/>
  <c r="K18" i="3" a="1"/>
  <c r="K18" i="3" s="1"/>
  <c r="L18" i="3" a="1"/>
  <c r="L18" i="3" s="1"/>
  <c r="M18" i="3" a="1"/>
  <c r="M18" i="3" s="1"/>
  <c r="N18" i="3" a="1"/>
  <c r="N18" i="3" s="1"/>
  <c r="O18" i="3" a="1"/>
  <c r="O18" i="3" s="1"/>
  <c r="P18" i="3" a="1"/>
  <c r="P18" i="3" s="1"/>
  <c r="Q18" i="3" a="1"/>
  <c r="Q18" i="3" s="1"/>
  <c r="A19" i="3" a="1"/>
  <c r="A19" i="3" s="1"/>
  <c r="B19" i="3" a="1"/>
  <c r="B19" i="3" s="1"/>
  <c r="D19" i="3" a="1"/>
  <c r="D19" i="3" s="1"/>
  <c r="E19" i="3" a="1"/>
  <c r="E19" i="3" s="1"/>
  <c r="F19" i="3" a="1"/>
  <c r="F19" i="3" s="1"/>
  <c r="G19" i="3" a="1"/>
  <c r="G19" i="3" s="1"/>
  <c r="H19" i="3" a="1"/>
  <c r="H19" i="3" s="1"/>
  <c r="I19" i="3" a="1"/>
  <c r="I19" i="3" s="1"/>
  <c r="J19" i="3" a="1"/>
  <c r="J19" i="3" s="1"/>
  <c r="K19" i="3" a="1"/>
  <c r="K19" i="3" s="1"/>
  <c r="L19" i="3" a="1"/>
  <c r="L19" i="3" s="1"/>
  <c r="M19" i="3" a="1"/>
  <c r="M19" i="3" s="1"/>
  <c r="N19" i="3" a="1"/>
  <c r="N19" i="3" s="1"/>
  <c r="O19" i="3" a="1"/>
  <c r="O19" i="3" s="1"/>
  <c r="P19" i="3" a="1"/>
  <c r="P19" i="3" s="1"/>
  <c r="Q19" i="3" a="1"/>
  <c r="Q19" i="3" s="1"/>
  <c r="A20" i="3" a="1"/>
  <c r="A20" i="3" s="1"/>
  <c r="B20" i="3" a="1"/>
  <c r="B20" i="3" s="1"/>
  <c r="D20" i="3" a="1"/>
  <c r="D20" i="3" s="1"/>
  <c r="E20" i="3" a="1"/>
  <c r="E20" i="3" s="1"/>
  <c r="F20" i="3" a="1"/>
  <c r="F20" i="3" s="1"/>
  <c r="G20" i="3" a="1"/>
  <c r="G20" i="3" s="1"/>
  <c r="H20" i="3" a="1"/>
  <c r="H20" i="3" s="1"/>
  <c r="I20" i="3" a="1"/>
  <c r="I20" i="3" s="1"/>
  <c r="J20" i="3" a="1"/>
  <c r="J20" i="3" s="1"/>
  <c r="K20" i="3" a="1"/>
  <c r="K20" i="3" s="1"/>
  <c r="L20" i="3" a="1"/>
  <c r="L20" i="3" s="1"/>
  <c r="M20" i="3" a="1"/>
  <c r="M20" i="3" s="1"/>
  <c r="N20" i="3" a="1"/>
  <c r="N20" i="3" s="1"/>
  <c r="O20" i="3" a="1"/>
  <c r="O20" i="3" s="1"/>
  <c r="P20" i="3" a="1"/>
  <c r="P20" i="3" s="1"/>
  <c r="Q20" i="3" a="1"/>
  <c r="Q20" i="3" s="1"/>
  <c r="A21" i="3" a="1"/>
  <c r="A21" i="3" s="1"/>
  <c r="B21" i="3" a="1"/>
  <c r="B21" i="3" s="1"/>
  <c r="D21" i="3" a="1"/>
  <c r="D21" i="3" s="1"/>
  <c r="E21" i="3" a="1"/>
  <c r="E21" i="3" s="1"/>
  <c r="F21" i="3" a="1"/>
  <c r="F21" i="3" s="1"/>
  <c r="G21" i="3" a="1"/>
  <c r="G21" i="3" s="1"/>
  <c r="H21" i="3" a="1"/>
  <c r="H21" i="3" s="1"/>
  <c r="I21" i="3" a="1"/>
  <c r="I21" i="3" s="1"/>
  <c r="J21" i="3" a="1"/>
  <c r="J21" i="3" s="1"/>
  <c r="K21" i="3" a="1"/>
  <c r="K21" i="3" s="1"/>
  <c r="L21" i="3" a="1"/>
  <c r="L21" i="3" s="1"/>
  <c r="M21" i="3" a="1"/>
  <c r="M21" i="3" s="1"/>
  <c r="N21" i="3" a="1"/>
  <c r="N21" i="3" s="1"/>
  <c r="O21" i="3" a="1"/>
  <c r="O21" i="3" s="1"/>
  <c r="P21" i="3" a="1"/>
  <c r="P21" i="3" s="1"/>
  <c r="Q21" i="3" a="1"/>
  <c r="Q21" i="3" s="1"/>
  <c r="A22" i="3" a="1"/>
  <c r="A22" i="3" s="1"/>
  <c r="B22" i="3" a="1"/>
  <c r="B22" i="3" s="1"/>
  <c r="D22" i="3" a="1"/>
  <c r="D22" i="3" s="1"/>
  <c r="E22" i="3" a="1"/>
  <c r="E22" i="3" s="1"/>
  <c r="F22" i="3" a="1"/>
  <c r="F22" i="3" s="1"/>
  <c r="G22" i="3" a="1"/>
  <c r="G22" i="3" s="1"/>
  <c r="H22" i="3" a="1"/>
  <c r="H22" i="3" s="1"/>
  <c r="I22" i="3" a="1"/>
  <c r="I22" i="3" s="1"/>
  <c r="J22" i="3" a="1"/>
  <c r="J22" i="3" s="1"/>
  <c r="K22" i="3" a="1"/>
  <c r="K22" i="3" s="1"/>
  <c r="L22" i="3" a="1"/>
  <c r="L22" i="3" s="1"/>
  <c r="M22" i="3" a="1"/>
  <c r="M22" i="3" s="1"/>
  <c r="N22" i="3" a="1"/>
  <c r="N22" i="3" s="1"/>
  <c r="O22" i="3" a="1"/>
  <c r="O22" i="3" s="1"/>
  <c r="P22" i="3" a="1"/>
  <c r="P22" i="3" s="1"/>
  <c r="Q22" i="3" a="1"/>
  <c r="Q22" i="3" s="1"/>
  <c r="A23" i="3" a="1"/>
  <c r="A23" i="3" s="1"/>
  <c r="B23" i="3" a="1"/>
  <c r="B23" i="3" s="1"/>
  <c r="D23" i="3" a="1"/>
  <c r="D23" i="3" s="1"/>
  <c r="E23" i="3" a="1"/>
  <c r="E23" i="3" s="1"/>
  <c r="F23" i="3" a="1"/>
  <c r="F23" i="3" s="1"/>
  <c r="G23" i="3" a="1"/>
  <c r="G23" i="3" s="1"/>
  <c r="H23" i="3" a="1"/>
  <c r="H23" i="3" s="1"/>
  <c r="I23" i="3" a="1"/>
  <c r="I23" i="3" s="1"/>
  <c r="J23" i="3" a="1"/>
  <c r="J23" i="3" s="1"/>
  <c r="K23" i="3" a="1"/>
  <c r="K23" i="3" s="1"/>
  <c r="L23" i="3" a="1"/>
  <c r="L23" i="3" s="1"/>
  <c r="M23" i="3" a="1"/>
  <c r="M23" i="3" s="1"/>
  <c r="N23" i="3" a="1"/>
  <c r="N23" i="3" s="1"/>
  <c r="O23" i="3" a="1"/>
  <c r="O23" i="3" s="1"/>
  <c r="P23" i="3" a="1"/>
  <c r="P23" i="3" s="1"/>
  <c r="Q23" i="3" a="1"/>
  <c r="Q23" i="3" s="1"/>
  <c r="A24" i="3" a="1"/>
  <c r="A24" i="3" s="1"/>
  <c r="B24" i="3" a="1"/>
  <c r="B24" i="3" s="1"/>
  <c r="D24" i="3" a="1"/>
  <c r="D24" i="3" s="1"/>
  <c r="E24" i="3" a="1"/>
  <c r="E24" i="3" s="1"/>
  <c r="F24" i="3" a="1"/>
  <c r="F24" i="3" s="1"/>
  <c r="G24" i="3" a="1"/>
  <c r="G24" i="3" s="1"/>
  <c r="H24" i="3" a="1"/>
  <c r="H24" i="3" s="1"/>
  <c r="I24" i="3" a="1"/>
  <c r="I24" i="3" s="1"/>
  <c r="J24" i="3" a="1"/>
  <c r="J24" i="3" s="1"/>
  <c r="K24" i="3" a="1"/>
  <c r="K24" i="3" s="1"/>
  <c r="L24" i="3" a="1"/>
  <c r="L24" i="3" s="1"/>
  <c r="M24" i="3" a="1"/>
  <c r="M24" i="3" s="1"/>
  <c r="N24" i="3" a="1"/>
  <c r="N24" i="3" s="1"/>
  <c r="O24" i="3" a="1"/>
  <c r="O24" i="3" s="1"/>
  <c r="P24" i="3" a="1"/>
  <c r="P24" i="3" s="1"/>
  <c r="Q24" i="3" a="1"/>
  <c r="Q24" i="3" s="1"/>
  <c r="A25" i="3" a="1"/>
  <c r="A25" i="3" s="1"/>
  <c r="B25" i="3" a="1"/>
  <c r="B25" i="3" s="1"/>
  <c r="D25" i="3" a="1"/>
  <c r="D25" i="3" s="1"/>
  <c r="E25" i="3" a="1"/>
  <c r="E25" i="3" s="1"/>
  <c r="F25" i="3" a="1"/>
  <c r="F25" i="3" s="1"/>
  <c r="G25" i="3" a="1"/>
  <c r="G25" i="3" s="1"/>
  <c r="H25" i="3" a="1"/>
  <c r="H25" i="3" s="1"/>
  <c r="I25" i="3" a="1"/>
  <c r="I25" i="3" s="1"/>
  <c r="J25" i="3" a="1"/>
  <c r="J25" i="3" s="1"/>
  <c r="K25" i="3" a="1"/>
  <c r="K25" i="3" s="1"/>
  <c r="L25" i="3" a="1"/>
  <c r="L25" i="3" s="1"/>
  <c r="M25" i="3" a="1"/>
  <c r="M25" i="3" s="1"/>
  <c r="N25" i="3" a="1"/>
  <c r="N25" i="3" s="1"/>
  <c r="O25" i="3" a="1"/>
  <c r="O25" i="3" s="1"/>
  <c r="P25" i="3" a="1"/>
  <c r="P25" i="3" s="1"/>
  <c r="Q25" i="3" a="1"/>
  <c r="Q25" i="3" s="1"/>
  <c r="A26" i="3" a="1"/>
  <c r="A26" i="3" s="1"/>
  <c r="B26" i="3" a="1"/>
  <c r="B26" i="3" s="1"/>
  <c r="D26" i="3" a="1"/>
  <c r="D26" i="3" s="1"/>
  <c r="E26" i="3" a="1"/>
  <c r="E26" i="3" s="1"/>
  <c r="F26" i="3" a="1"/>
  <c r="F26" i="3" s="1"/>
  <c r="G26" i="3" a="1"/>
  <c r="G26" i="3" s="1"/>
  <c r="H26" i="3" a="1"/>
  <c r="H26" i="3" s="1"/>
  <c r="I26" i="3" a="1"/>
  <c r="I26" i="3" s="1"/>
  <c r="J26" i="3" a="1"/>
  <c r="J26" i="3" s="1"/>
  <c r="K26" i="3" a="1"/>
  <c r="K26" i="3" s="1"/>
  <c r="L26" i="3" a="1"/>
  <c r="L26" i="3" s="1"/>
  <c r="M26" i="3" a="1"/>
  <c r="M26" i="3" s="1"/>
  <c r="N26" i="3" a="1"/>
  <c r="N26" i="3" s="1"/>
  <c r="O26" i="3" a="1"/>
  <c r="O26" i="3" s="1"/>
  <c r="P26" i="3" a="1"/>
  <c r="P26" i="3" s="1"/>
  <c r="Q26" i="3" a="1"/>
  <c r="Q26" i="3" s="1"/>
  <c r="A27" i="3" a="1"/>
  <c r="A27" i="3" s="1"/>
  <c r="B27" i="3" a="1"/>
  <c r="B27" i="3" s="1"/>
  <c r="D27" i="3" a="1"/>
  <c r="D27" i="3" s="1"/>
  <c r="E27" i="3" a="1"/>
  <c r="E27" i="3" s="1"/>
  <c r="F27" i="3" a="1"/>
  <c r="F27" i="3" s="1"/>
  <c r="G27" i="3" a="1"/>
  <c r="G27" i="3" s="1"/>
  <c r="H27" i="3" a="1"/>
  <c r="H27" i="3" s="1"/>
  <c r="I27" i="3" a="1"/>
  <c r="I27" i="3" s="1"/>
  <c r="J27" i="3" a="1"/>
  <c r="J27" i="3" s="1"/>
  <c r="K27" i="3" a="1"/>
  <c r="K27" i="3" s="1"/>
  <c r="L27" i="3" a="1"/>
  <c r="L27" i="3" s="1"/>
  <c r="M27" i="3" a="1"/>
  <c r="M27" i="3" s="1"/>
  <c r="N27" i="3" a="1"/>
  <c r="N27" i="3" s="1"/>
  <c r="O27" i="3" a="1"/>
  <c r="O27" i="3" s="1"/>
  <c r="P27" i="3" a="1"/>
  <c r="P27" i="3" s="1"/>
  <c r="Q27" i="3" a="1"/>
  <c r="Q27" i="3" s="1"/>
  <c r="A28" i="3" a="1"/>
  <c r="A28" i="3" s="1"/>
  <c r="B28" i="3" a="1"/>
  <c r="B28" i="3" s="1"/>
  <c r="D28" i="3" a="1"/>
  <c r="D28" i="3" s="1"/>
  <c r="E28" i="3" a="1"/>
  <c r="E28" i="3" s="1"/>
  <c r="F28" i="3" a="1"/>
  <c r="F28" i="3" s="1"/>
  <c r="G28" i="3" a="1"/>
  <c r="G28" i="3" s="1"/>
  <c r="H28" i="3" a="1"/>
  <c r="H28" i="3" s="1"/>
  <c r="I28" i="3" a="1"/>
  <c r="I28" i="3" s="1"/>
  <c r="J28" i="3" a="1"/>
  <c r="J28" i="3" s="1"/>
  <c r="K28" i="3" a="1"/>
  <c r="K28" i="3" s="1"/>
  <c r="L28" i="3" a="1"/>
  <c r="L28" i="3" s="1"/>
  <c r="M28" i="3" a="1"/>
  <c r="M28" i="3" s="1"/>
  <c r="N28" i="3" a="1"/>
  <c r="N28" i="3" s="1"/>
  <c r="O28" i="3" a="1"/>
  <c r="O28" i="3" s="1"/>
  <c r="P28" i="3" a="1"/>
  <c r="P28" i="3" s="1"/>
  <c r="Q28" i="3" a="1"/>
  <c r="Q28" i="3" s="1"/>
  <c r="A29" i="3" a="1"/>
  <c r="A29" i="3" s="1"/>
  <c r="B29" i="3" a="1"/>
  <c r="B29" i="3" s="1"/>
  <c r="D29" i="3" a="1"/>
  <c r="D29" i="3" s="1"/>
  <c r="E29" i="3" a="1"/>
  <c r="E29" i="3" s="1"/>
  <c r="F29" i="3" a="1"/>
  <c r="F29" i="3" s="1"/>
  <c r="G29" i="3" a="1"/>
  <c r="G29" i="3" s="1"/>
  <c r="H29" i="3" a="1"/>
  <c r="H29" i="3" s="1"/>
  <c r="I29" i="3" a="1"/>
  <c r="I29" i="3" s="1"/>
  <c r="J29" i="3" a="1"/>
  <c r="J29" i="3" s="1"/>
  <c r="K29" i="3" a="1"/>
  <c r="K29" i="3" s="1"/>
  <c r="L29" i="3" a="1"/>
  <c r="L29" i="3" s="1"/>
  <c r="M29" i="3" a="1"/>
  <c r="M29" i="3" s="1"/>
  <c r="N29" i="3" a="1"/>
  <c r="N29" i="3" s="1"/>
  <c r="O29" i="3" a="1"/>
  <c r="O29" i="3" s="1"/>
  <c r="P29" i="3" a="1"/>
  <c r="P29" i="3" s="1"/>
  <c r="Q29" i="3" a="1"/>
  <c r="Q29" i="3" s="1"/>
  <c r="A30" i="3" a="1"/>
  <c r="A30" i="3" s="1"/>
  <c r="B30" i="3" a="1"/>
  <c r="B30" i="3" s="1"/>
  <c r="D30" i="3" a="1"/>
  <c r="D30" i="3" s="1"/>
  <c r="E30" i="3" a="1"/>
  <c r="E30" i="3" s="1"/>
  <c r="F30" i="3" a="1"/>
  <c r="F30" i="3" s="1"/>
  <c r="G30" i="3" a="1"/>
  <c r="G30" i="3" s="1"/>
  <c r="H30" i="3" a="1"/>
  <c r="H30" i="3" s="1"/>
  <c r="I30" i="3" a="1"/>
  <c r="I30" i="3" s="1"/>
  <c r="J30" i="3" a="1"/>
  <c r="J30" i="3" s="1"/>
  <c r="K30" i="3" a="1"/>
  <c r="K30" i="3" s="1"/>
  <c r="L30" i="3" a="1"/>
  <c r="L30" i="3" s="1"/>
  <c r="M30" i="3" a="1"/>
  <c r="M30" i="3" s="1"/>
  <c r="N30" i="3" a="1"/>
  <c r="N30" i="3" s="1"/>
  <c r="O30" i="3" a="1"/>
  <c r="O30" i="3" s="1"/>
  <c r="P30" i="3" a="1"/>
  <c r="P30" i="3" s="1"/>
  <c r="Q30" i="3" a="1"/>
  <c r="Q30" i="3" s="1"/>
  <c r="A31" i="3" a="1"/>
  <c r="A31" i="3" s="1"/>
  <c r="B31" i="3" a="1"/>
  <c r="B31" i="3" s="1"/>
  <c r="D31" i="3" a="1"/>
  <c r="D31" i="3" s="1"/>
  <c r="E31" i="3" a="1"/>
  <c r="E31" i="3" s="1"/>
  <c r="F31" i="3" a="1"/>
  <c r="F31" i="3" s="1"/>
  <c r="G31" i="3" a="1"/>
  <c r="G31" i="3" s="1"/>
  <c r="H31" i="3" a="1"/>
  <c r="H31" i="3" s="1"/>
  <c r="I31" i="3" a="1"/>
  <c r="I31" i="3" s="1"/>
  <c r="J31" i="3" a="1"/>
  <c r="J31" i="3" s="1"/>
  <c r="K31" i="3" a="1"/>
  <c r="K31" i="3" s="1"/>
  <c r="L31" i="3" a="1"/>
  <c r="L31" i="3" s="1"/>
  <c r="M31" i="3" a="1"/>
  <c r="M31" i="3" s="1"/>
  <c r="N31" i="3" a="1"/>
  <c r="N31" i="3" s="1"/>
  <c r="O31" i="3" a="1"/>
  <c r="O31" i="3" s="1"/>
  <c r="P31" i="3" a="1"/>
  <c r="P31" i="3" s="1"/>
  <c r="Q31" i="3" a="1"/>
  <c r="Q31" i="3" s="1"/>
  <c r="A32" i="3" a="1"/>
  <c r="A32" i="3" s="1"/>
  <c r="B32" i="3" a="1"/>
  <c r="B32" i="3" s="1"/>
  <c r="D32" i="3" a="1"/>
  <c r="D32" i="3" s="1"/>
  <c r="E32" i="3" a="1"/>
  <c r="E32" i="3" s="1"/>
  <c r="F32" i="3" a="1"/>
  <c r="F32" i="3" s="1"/>
  <c r="G32" i="3" a="1"/>
  <c r="G32" i="3" s="1"/>
  <c r="H32" i="3" a="1"/>
  <c r="H32" i="3" s="1"/>
  <c r="I32" i="3" a="1"/>
  <c r="I32" i="3" s="1"/>
  <c r="J32" i="3" a="1"/>
  <c r="J32" i="3" s="1"/>
  <c r="K32" i="3" a="1"/>
  <c r="K32" i="3" s="1"/>
  <c r="L32" i="3" a="1"/>
  <c r="L32" i="3" s="1"/>
  <c r="M32" i="3" a="1"/>
  <c r="M32" i="3" s="1"/>
  <c r="N32" i="3" a="1"/>
  <c r="N32" i="3" s="1"/>
  <c r="O32" i="3" a="1"/>
  <c r="O32" i="3" s="1"/>
  <c r="P32" i="3" a="1"/>
  <c r="P32" i="3" s="1"/>
  <c r="Q32" i="3" a="1"/>
  <c r="Q32" i="3" s="1"/>
  <c r="A33" i="3" a="1"/>
  <c r="A33" i="3" s="1"/>
  <c r="B33" i="3" a="1"/>
  <c r="B33" i="3" s="1"/>
  <c r="D33" i="3" a="1"/>
  <c r="D33" i="3" s="1"/>
  <c r="E33" i="3" a="1"/>
  <c r="E33" i="3" s="1"/>
  <c r="F33" i="3" a="1"/>
  <c r="F33" i="3" s="1"/>
  <c r="G33" i="3" a="1"/>
  <c r="G33" i="3" s="1"/>
  <c r="H33" i="3" a="1"/>
  <c r="H33" i="3" s="1"/>
  <c r="I33" i="3" a="1"/>
  <c r="I33" i="3" s="1"/>
  <c r="J33" i="3" a="1"/>
  <c r="J33" i="3" s="1"/>
  <c r="K33" i="3" a="1"/>
  <c r="K33" i="3" s="1"/>
  <c r="L33" i="3" a="1"/>
  <c r="L33" i="3" s="1"/>
  <c r="M33" i="3" a="1"/>
  <c r="M33" i="3" s="1"/>
  <c r="N33" i="3" a="1"/>
  <c r="N33" i="3" s="1"/>
  <c r="O33" i="3" a="1"/>
  <c r="O33" i="3" s="1"/>
  <c r="P33" i="3" a="1"/>
  <c r="P33" i="3" s="1"/>
  <c r="Q33" i="3" a="1"/>
  <c r="Q33" i="3" s="1"/>
  <c r="A34" i="3" a="1"/>
  <c r="A34" i="3" s="1"/>
  <c r="B34" i="3" a="1"/>
  <c r="B34" i="3" s="1"/>
  <c r="D34" i="3" a="1"/>
  <c r="D34" i="3" s="1"/>
  <c r="E34" i="3" a="1"/>
  <c r="E34" i="3" s="1"/>
  <c r="F34" i="3" a="1"/>
  <c r="F34" i="3" s="1"/>
  <c r="G34" i="3" a="1"/>
  <c r="G34" i="3" s="1"/>
  <c r="H34" i="3" a="1"/>
  <c r="H34" i="3" s="1"/>
  <c r="I34" i="3" a="1"/>
  <c r="I34" i="3" s="1"/>
  <c r="J34" i="3" a="1"/>
  <c r="J34" i="3" s="1"/>
  <c r="K34" i="3" a="1"/>
  <c r="K34" i="3" s="1"/>
  <c r="L34" i="3" a="1"/>
  <c r="L34" i="3" s="1"/>
  <c r="M34" i="3" a="1"/>
  <c r="M34" i="3" s="1"/>
  <c r="N34" i="3" a="1"/>
  <c r="N34" i="3" s="1"/>
  <c r="O34" i="3" a="1"/>
  <c r="O34" i="3" s="1"/>
  <c r="P34" i="3" a="1"/>
  <c r="P34" i="3" s="1"/>
  <c r="Q34" i="3" a="1"/>
  <c r="Q34" i="3" s="1"/>
  <c r="A35" i="3" a="1"/>
  <c r="A35" i="3" s="1"/>
  <c r="B35" i="3" a="1"/>
  <c r="B35" i="3" s="1"/>
  <c r="D35" i="3" a="1"/>
  <c r="D35" i="3" s="1"/>
  <c r="E35" i="3" a="1"/>
  <c r="E35" i="3" s="1"/>
  <c r="F35" i="3" a="1"/>
  <c r="F35" i="3" s="1"/>
  <c r="G35" i="3" a="1"/>
  <c r="G35" i="3" s="1"/>
  <c r="H35" i="3" a="1"/>
  <c r="H35" i="3" s="1"/>
  <c r="I35" i="3" a="1"/>
  <c r="I35" i="3" s="1"/>
  <c r="J35" i="3" a="1"/>
  <c r="J35" i="3" s="1"/>
  <c r="K35" i="3" a="1"/>
  <c r="K35" i="3" s="1"/>
  <c r="L35" i="3" a="1"/>
  <c r="L35" i="3" s="1"/>
  <c r="M35" i="3" a="1"/>
  <c r="M35" i="3" s="1"/>
  <c r="N35" i="3" a="1"/>
  <c r="N35" i="3" s="1"/>
  <c r="O35" i="3" a="1"/>
  <c r="O35" i="3" s="1"/>
  <c r="P35" i="3" a="1"/>
  <c r="P35" i="3" s="1"/>
  <c r="Q35" i="3" a="1"/>
  <c r="Q35" i="3" s="1"/>
  <c r="A36" i="3" a="1"/>
  <c r="A36" i="3" s="1"/>
  <c r="B36" i="3" a="1"/>
  <c r="B36" i="3" s="1"/>
  <c r="D36" i="3" a="1"/>
  <c r="D36" i="3" s="1"/>
  <c r="E36" i="3" a="1"/>
  <c r="E36" i="3" s="1"/>
  <c r="F36" i="3" a="1"/>
  <c r="F36" i="3" s="1"/>
  <c r="G36" i="3" a="1"/>
  <c r="G36" i="3" s="1"/>
  <c r="H36" i="3" a="1"/>
  <c r="H36" i="3" s="1"/>
  <c r="I36" i="3" a="1"/>
  <c r="I36" i="3" s="1"/>
  <c r="J36" i="3" a="1"/>
  <c r="J36" i="3" s="1"/>
  <c r="K36" i="3" a="1"/>
  <c r="K36" i="3" s="1"/>
  <c r="L36" i="3" a="1"/>
  <c r="L36" i="3" s="1"/>
  <c r="M36" i="3" a="1"/>
  <c r="M36" i="3" s="1"/>
  <c r="N36" i="3" a="1"/>
  <c r="N36" i="3" s="1"/>
  <c r="O36" i="3" a="1"/>
  <c r="O36" i="3" s="1"/>
  <c r="P36" i="3" a="1"/>
  <c r="P36" i="3" s="1"/>
  <c r="Q36" i="3" a="1"/>
  <c r="Q36" i="3" s="1"/>
  <c r="A37" i="3" a="1"/>
  <c r="A37" i="3" s="1"/>
  <c r="B37" i="3" a="1"/>
  <c r="B37" i="3" s="1"/>
  <c r="D37" i="3" a="1"/>
  <c r="D37" i="3" s="1"/>
  <c r="E37" i="3" a="1"/>
  <c r="E37" i="3" s="1"/>
  <c r="F37" i="3" a="1"/>
  <c r="F37" i="3" s="1"/>
  <c r="G37" i="3" a="1"/>
  <c r="G37" i="3" s="1"/>
  <c r="H37" i="3" a="1"/>
  <c r="H37" i="3" s="1"/>
  <c r="I37" i="3" a="1"/>
  <c r="I37" i="3" s="1"/>
  <c r="J37" i="3" a="1"/>
  <c r="J37" i="3" s="1"/>
  <c r="K37" i="3" a="1"/>
  <c r="K37" i="3" s="1"/>
  <c r="L37" i="3" a="1"/>
  <c r="L37" i="3" s="1"/>
  <c r="M37" i="3" a="1"/>
  <c r="M37" i="3" s="1"/>
  <c r="N37" i="3" a="1"/>
  <c r="N37" i="3" s="1"/>
  <c r="O37" i="3" a="1"/>
  <c r="O37" i="3" s="1"/>
  <c r="P37" i="3" a="1"/>
  <c r="P37" i="3" s="1"/>
  <c r="Q37" i="3" a="1"/>
  <c r="Q37" i="3" s="1"/>
  <c r="A38" i="3" a="1"/>
  <c r="A38" i="3" s="1"/>
  <c r="B38" i="3" a="1"/>
  <c r="B38" i="3" s="1"/>
  <c r="D38" i="3" a="1"/>
  <c r="D38" i="3" s="1"/>
  <c r="E38" i="3" a="1"/>
  <c r="E38" i="3" s="1"/>
  <c r="F38" i="3" a="1"/>
  <c r="F38" i="3" s="1"/>
  <c r="G38" i="3" a="1"/>
  <c r="G38" i="3" s="1"/>
  <c r="H38" i="3" a="1"/>
  <c r="H38" i="3" s="1"/>
  <c r="I38" i="3" a="1"/>
  <c r="I38" i="3" s="1"/>
  <c r="J38" i="3" a="1"/>
  <c r="J38" i="3" s="1"/>
  <c r="K38" i="3" a="1"/>
  <c r="K38" i="3" s="1"/>
  <c r="L38" i="3" a="1"/>
  <c r="L38" i="3" s="1"/>
  <c r="M38" i="3" a="1"/>
  <c r="M38" i="3" s="1"/>
  <c r="N38" i="3" a="1"/>
  <c r="N38" i="3" s="1"/>
  <c r="O38" i="3" a="1"/>
  <c r="O38" i="3" s="1"/>
  <c r="P38" i="3" a="1"/>
  <c r="P38" i="3" s="1"/>
  <c r="Q38" i="3" a="1"/>
  <c r="Q38" i="3" s="1"/>
  <c r="A39" i="3" a="1"/>
  <c r="A39" i="3" s="1"/>
  <c r="B39" i="3" a="1"/>
  <c r="B39" i="3" s="1"/>
  <c r="D39" i="3" a="1"/>
  <c r="D39" i="3" s="1"/>
  <c r="E39" i="3" a="1"/>
  <c r="E39" i="3" s="1"/>
  <c r="F39" i="3" a="1"/>
  <c r="F39" i="3" s="1"/>
  <c r="G39" i="3" a="1"/>
  <c r="G39" i="3" s="1"/>
  <c r="H39" i="3" a="1"/>
  <c r="H39" i="3" s="1"/>
  <c r="I39" i="3" a="1"/>
  <c r="I39" i="3" s="1"/>
  <c r="J39" i="3" a="1"/>
  <c r="J39" i="3" s="1"/>
  <c r="K39" i="3" a="1"/>
  <c r="K39" i="3" s="1"/>
  <c r="L39" i="3" a="1"/>
  <c r="L39" i="3" s="1"/>
  <c r="M39" i="3" a="1"/>
  <c r="M39" i="3" s="1"/>
  <c r="N39" i="3" a="1"/>
  <c r="N39" i="3" s="1"/>
  <c r="O39" i="3" a="1"/>
  <c r="O39" i="3" s="1"/>
  <c r="P39" i="3" a="1"/>
  <c r="P39" i="3" s="1"/>
  <c r="Q39" i="3" a="1"/>
  <c r="Q39" i="3" s="1"/>
  <c r="A40" i="3" a="1"/>
  <c r="A40" i="3" s="1"/>
  <c r="B40" i="3" a="1"/>
  <c r="B40" i="3" s="1"/>
  <c r="D40" i="3" a="1"/>
  <c r="D40" i="3" s="1"/>
  <c r="E40" i="3" a="1"/>
  <c r="E40" i="3" s="1"/>
  <c r="F40" i="3" a="1"/>
  <c r="F40" i="3" s="1"/>
  <c r="G40" i="3" a="1"/>
  <c r="G40" i="3" s="1"/>
  <c r="H40" i="3" a="1"/>
  <c r="H40" i="3" s="1"/>
  <c r="I40" i="3" a="1"/>
  <c r="I40" i="3" s="1"/>
  <c r="J40" i="3" a="1"/>
  <c r="J40" i="3" s="1"/>
  <c r="K40" i="3" a="1"/>
  <c r="K40" i="3" s="1"/>
  <c r="L40" i="3" a="1"/>
  <c r="L40" i="3" s="1"/>
  <c r="M40" i="3" a="1"/>
  <c r="M40" i="3" s="1"/>
  <c r="N40" i="3" a="1"/>
  <c r="N40" i="3" s="1"/>
  <c r="O40" i="3" a="1"/>
  <c r="O40" i="3" s="1"/>
  <c r="P40" i="3" a="1"/>
  <c r="P40" i="3" s="1"/>
  <c r="Q40" i="3" a="1"/>
  <c r="Q40" i="3" s="1"/>
  <c r="A41" i="3" a="1"/>
  <c r="A41" i="3" s="1"/>
  <c r="B41" i="3" a="1"/>
  <c r="B41" i="3" s="1"/>
  <c r="D41" i="3" a="1"/>
  <c r="D41" i="3" s="1"/>
  <c r="E41" i="3" a="1"/>
  <c r="E41" i="3" s="1"/>
  <c r="F41" i="3" a="1"/>
  <c r="F41" i="3" s="1"/>
  <c r="G41" i="3" a="1"/>
  <c r="G41" i="3" s="1"/>
  <c r="H41" i="3" a="1"/>
  <c r="H41" i="3" s="1"/>
  <c r="I41" i="3" a="1"/>
  <c r="I41" i="3" s="1"/>
  <c r="J41" i="3" a="1"/>
  <c r="J41" i="3" s="1"/>
  <c r="K41" i="3" a="1"/>
  <c r="K41" i="3" s="1"/>
  <c r="L41" i="3" a="1"/>
  <c r="L41" i="3" s="1"/>
  <c r="M41" i="3" a="1"/>
  <c r="M41" i="3" s="1"/>
  <c r="N41" i="3" a="1"/>
  <c r="N41" i="3" s="1"/>
  <c r="O41" i="3" a="1"/>
  <c r="O41" i="3" s="1"/>
  <c r="P41" i="3" a="1"/>
  <c r="P41" i="3" s="1"/>
  <c r="Q41" i="3" a="1"/>
  <c r="Q41" i="3" s="1"/>
  <c r="A42" i="3" a="1"/>
  <c r="A42" i="3" s="1"/>
  <c r="B42" i="3" a="1"/>
  <c r="B42" i="3" s="1"/>
  <c r="D42" i="3" a="1"/>
  <c r="D42" i="3" s="1"/>
  <c r="E42" i="3" a="1"/>
  <c r="E42" i="3" s="1"/>
  <c r="F42" i="3" a="1"/>
  <c r="F42" i="3" s="1"/>
  <c r="G42" i="3" a="1"/>
  <c r="G42" i="3" s="1"/>
  <c r="H42" i="3" a="1"/>
  <c r="H42" i="3" s="1"/>
  <c r="I42" i="3" a="1"/>
  <c r="I42" i="3" s="1"/>
  <c r="J42" i="3" a="1"/>
  <c r="J42" i="3" s="1"/>
  <c r="K42" i="3" a="1"/>
  <c r="K42" i="3" s="1"/>
  <c r="L42" i="3" a="1"/>
  <c r="L42" i="3" s="1"/>
  <c r="M42" i="3" a="1"/>
  <c r="M42" i="3" s="1"/>
  <c r="N42" i="3" a="1"/>
  <c r="N42" i="3" s="1"/>
  <c r="O42" i="3" a="1"/>
  <c r="O42" i="3" s="1"/>
  <c r="P42" i="3" a="1"/>
  <c r="P42" i="3" s="1"/>
  <c r="Q42" i="3" a="1"/>
  <c r="Q42" i="3" s="1"/>
  <c r="A43" i="3" a="1"/>
  <c r="A43" i="3" s="1"/>
  <c r="B43" i="3" a="1"/>
  <c r="B43" i="3" s="1"/>
  <c r="D43" i="3" a="1"/>
  <c r="D43" i="3" s="1"/>
  <c r="E43" i="3" a="1"/>
  <c r="E43" i="3" s="1"/>
  <c r="F43" i="3" a="1"/>
  <c r="F43" i="3" s="1"/>
  <c r="G43" i="3" a="1"/>
  <c r="G43" i="3" s="1"/>
  <c r="H43" i="3" a="1"/>
  <c r="H43" i="3" s="1"/>
  <c r="I43" i="3" a="1"/>
  <c r="I43" i="3" s="1"/>
  <c r="J43" i="3" a="1"/>
  <c r="J43" i="3" s="1"/>
  <c r="K43" i="3" a="1"/>
  <c r="K43" i="3" s="1"/>
  <c r="L43" i="3" a="1"/>
  <c r="L43" i="3" s="1"/>
  <c r="M43" i="3" a="1"/>
  <c r="M43" i="3" s="1"/>
  <c r="N43" i="3" a="1"/>
  <c r="N43" i="3" s="1"/>
  <c r="O43" i="3" a="1"/>
  <c r="O43" i="3" s="1"/>
  <c r="P43" i="3" a="1"/>
  <c r="P43" i="3" s="1"/>
  <c r="Q43" i="3" a="1"/>
  <c r="Q43" i="3" s="1"/>
  <c r="A44" i="3" a="1"/>
  <c r="A44" i="3" s="1"/>
  <c r="B44" i="3" a="1"/>
  <c r="B44" i="3" s="1"/>
  <c r="D44" i="3" a="1"/>
  <c r="D44" i="3" s="1"/>
  <c r="E44" i="3" a="1"/>
  <c r="E44" i="3" s="1"/>
  <c r="F44" i="3" a="1"/>
  <c r="F44" i="3" s="1"/>
  <c r="G44" i="3" a="1"/>
  <c r="G44" i="3" s="1"/>
  <c r="H44" i="3" a="1"/>
  <c r="H44" i="3" s="1"/>
  <c r="I44" i="3" a="1"/>
  <c r="I44" i="3" s="1"/>
  <c r="J44" i="3" a="1"/>
  <c r="J44" i="3" s="1"/>
  <c r="K44" i="3" a="1"/>
  <c r="K44" i="3" s="1"/>
  <c r="L44" i="3" a="1"/>
  <c r="L44" i="3" s="1"/>
  <c r="M44" i="3" a="1"/>
  <c r="M44" i="3" s="1"/>
  <c r="N44" i="3" a="1"/>
  <c r="N44" i="3" s="1"/>
  <c r="O44" i="3" a="1"/>
  <c r="O44" i="3" s="1"/>
  <c r="P44" i="3" a="1"/>
  <c r="P44" i="3" s="1"/>
  <c r="Q44" i="3" a="1"/>
  <c r="Q44" i="3" s="1"/>
  <c r="A45" i="3" a="1"/>
  <c r="A45" i="3" s="1"/>
  <c r="B45" i="3" a="1"/>
  <c r="B45" i="3" s="1"/>
  <c r="D45" i="3" a="1"/>
  <c r="D45" i="3" s="1"/>
  <c r="E45" i="3" a="1"/>
  <c r="E45" i="3" s="1"/>
  <c r="F45" i="3" a="1"/>
  <c r="F45" i="3" s="1"/>
  <c r="G45" i="3" a="1"/>
  <c r="G45" i="3" s="1"/>
  <c r="H45" i="3" a="1"/>
  <c r="H45" i="3" s="1"/>
  <c r="I45" i="3" a="1"/>
  <c r="I45" i="3" s="1"/>
  <c r="J45" i="3" a="1"/>
  <c r="J45" i="3" s="1"/>
  <c r="K45" i="3" a="1"/>
  <c r="K45" i="3" s="1"/>
  <c r="L45" i="3" a="1"/>
  <c r="L45" i="3" s="1"/>
  <c r="M45" i="3" a="1"/>
  <c r="M45" i="3" s="1"/>
  <c r="N45" i="3" a="1"/>
  <c r="N45" i="3" s="1"/>
  <c r="O45" i="3" a="1"/>
  <c r="O45" i="3" s="1"/>
  <c r="P45" i="3" a="1"/>
  <c r="P45" i="3" s="1"/>
  <c r="Q45" i="3" a="1"/>
  <c r="Q45" i="3" s="1"/>
  <c r="A46" i="3" a="1"/>
  <c r="A46" i="3" s="1"/>
  <c r="B46" i="3" a="1"/>
  <c r="B46" i="3" s="1"/>
  <c r="D46" i="3" a="1"/>
  <c r="D46" i="3" s="1"/>
  <c r="E46" i="3" a="1"/>
  <c r="E46" i="3" s="1"/>
  <c r="F46" i="3" a="1"/>
  <c r="F46" i="3" s="1"/>
  <c r="G46" i="3" a="1"/>
  <c r="G46" i="3" s="1"/>
  <c r="H46" i="3" a="1"/>
  <c r="H46" i="3" s="1"/>
  <c r="I46" i="3" a="1"/>
  <c r="I46" i="3" s="1"/>
  <c r="J46" i="3" a="1"/>
  <c r="J46" i="3" s="1"/>
  <c r="K46" i="3" a="1"/>
  <c r="K46" i="3" s="1"/>
  <c r="L46" i="3" a="1"/>
  <c r="L46" i="3" s="1"/>
  <c r="M46" i="3" a="1"/>
  <c r="M46" i="3" s="1"/>
  <c r="N46" i="3" a="1"/>
  <c r="N46" i="3" s="1"/>
  <c r="O46" i="3" a="1"/>
  <c r="O46" i="3" s="1"/>
  <c r="P46" i="3" a="1"/>
  <c r="P46" i="3" s="1"/>
  <c r="Q46" i="3" a="1"/>
  <c r="Q46" i="3" s="1"/>
  <c r="A47" i="3" a="1"/>
  <c r="A47" i="3" s="1"/>
  <c r="B47" i="3" a="1"/>
  <c r="B47" i="3" s="1"/>
  <c r="D47" i="3" a="1"/>
  <c r="D47" i="3" s="1"/>
  <c r="E47" i="3" a="1"/>
  <c r="E47" i="3" s="1"/>
  <c r="F47" i="3" a="1"/>
  <c r="F47" i="3" s="1"/>
  <c r="G47" i="3" a="1"/>
  <c r="G47" i="3" s="1"/>
  <c r="H47" i="3" a="1"/>
  <c r="H47" i="3" s="1"/>
  <c r="I47" i="3" a="1"/>
  <c r="I47" i="3" s="1"/>
  <c r="J47" i="3" a="1"/>
  <c r="J47" i="3" s="1"/>
  <c r="K47" i="3" a="1"/>
  <c r="K47" i="3" s="1"/>
  <c r="L47" i="3" a="1"/>
  <c r="L47" i="3" s="1"/>
  <c r="M47" i="3" a="1"/>
  <c r="M47" i="3" s="1"/>
  <c r="N47" i="3" a="1"/>
  <c r="N47" i="3" s="1"/>
  <c r="O47" i="3" a="1"/>
  <c r="O47" i="3" s="1"/>
  <c r="P47" i="3" a="1"/>
  <c r="P47" i="3" s="1"/>
  <c r="Q47" i="3" a="1"/>
  <c r="Q47" i="3" s="1"/>
  <c r="A48" i="3" a="1"/>
  <c r="A48" i="3" s="1"/>
  <c r="B48" i="3" a="1"/>
  <c r="B48" i="3" s="1"/>
  <c r="D48" i="3" a="1"/>
  <c r="D48" i="3" s="1"/>
  <c r="E48" i="3" a="1"/>
  <c r="E48" i="3" s="1"/>
  <c r="F48" i="3" a="1"/>
  <c r="F48" i="3" s="1"/>
  <c r="G48" i="3" a="1"/>
  <c r="G48" i="3" s="1"/>
  <c r="H48" i="3" a="1"/>
  <c r="H48" i="3" s="1"/>
  <c r="I48" i="3" a="1"/>
  <c r="I48" i="3" s="1"/>
  <c r="J48" i="3" a="1"/>
  <c r="J48" i="3" s="1"/>
  <c r="K48" i="3" a="1"/>
  <c r="K48" i="3" s="1"/>
  <c r="L48" i="3" a="1"/>
  <c r="L48" i="3" s="1"/>
  <c r="M48" i="3" a="1"/>
  <c r="M48" i="3" s="1"/>
  <c r="N48" i="3" a="1"/>
  <c r="N48" i="3" s="1"/>
  <c r="O48" i="3" a="1"/>
  <c r="O48" i="3" s="1"/>
  <c r="P48" i="3" a="1"/>
  <c r="P48" i="3" s="1"/>
  <c r="Q48" i="3" a="1"/>
  <c r="Q48" i="3" s="1"/>
  <c r="A49" i="3" a="1"/>
  <c r="A49" i="3" s="1"/>
  <c r="B49" i="3" a="1"/>
  <c r="B49" i="3" s="1"/>
  <c r="D49" i="3" a="1"/>
  <c r="D49" i="3" s="1"/>
  <c r="E49" i="3" a="1"/>
  <c r="E49" i="3" s="1"/>
  <c r="F49" i="3" a="1"/>
  <c r="F49" i="3" s="1"/>
  <c r="G49" i="3" a="1"/>
  <c r="G49" i="3" s="1"/>
  <c r="H49" i="3" a="1"/>
  <c r="H49" i="3" s="1"/>
  <c r="I49" i="3" a="1"/>
  <c r="I49" i="3" s="1"/>
  <c r="J49" i="3" a="1"/>
  <c r="J49" i="3" s="1"/>
  <c r="K49" i="3" a="1"/>
  <c r="K49" i="3" s="1"/>
  <c r="L49" i="3" a="1"/>
  <c r="L49" i="3" s="1"/>
  <c r="M49" i="3" a="1"/>
  <c r="M49" i="3" s="1"/>
  <c r="N49" i="3" a="1"/>
  <c r="N49" i="3" s="1"/>
  <c r="O49" i="3" a="1"/>
  <c r="O49" i="3" s="1"/>
  <c r="P49" i="3" a="1"/>
  <c r="P49" i="3" s="1"/>
  <c r="Q49" i="3" a="1"/>
  <c r="Q49" i="3" s="1"/>
  <c r="A50" i="3" a="1"/>
  <c r="A50" i="3" s="1"/>
  <c r="B50" i="3" a="1"/>
  <c r="B50" i="3" s="1"/>
  <c r="D50" i="3" a="1"/>
  <c r="D50" i="3" s="1"/>
  <c r="E50" i="3" a="1"/>
  <c r="E50" i="3" s="1"/>
  <c r="F50" i="3" a="1"/>
  <c r="F50" i="3" s="1"/>
  <c r="G50" i="3" a="1"/>
  <c r="G50" i="3" s="1"/>
  <c r="H50" i="3" a="1"/>
  <c r="H50" i="3" s="1"/>
  <c r="I50" i="3" a="1"/>
  <c r="I50" i="3" s="1"/>
  <c r="J50" i="3" a="1"/>
  <c r="J50" i="3" s="1"/>
  <c r="K50" i="3" a="1"/>
  <c r="K50" i="3" s="1"/>
  <c r="L50" i="3" a="1"/>
  <c r="L50" i="3" s="1"/>
  <c r="M50" i="3" a="1"/>
  <c r="M50" i="3" s="1"/>
  <c r="N50" i="3" a="1"/>
  <c r="N50" i="3" s="1"/>
  <c r="O50" i="3" a="1"/>
  <c r="O50" i="3" s="1"/>
  <c r="P50" i="3" a="1"/>
  <c r="P50" i="3" s="1"/>
  <c r="Q50" i="3" a="1"/>
  <c r="Q50" i="3" s="1"/>
  <c r="A51" i="3" a="1"/>
  <c r="A51" i="3" s="1"/>
  <c r="B51" i="3" a="1"/>
  <c r="B51" i="3" s="1"/>
  <c r="D51" i="3" a="1"/>
  <c r="D51" i="3" s="1"/>
  <c r="E51" i="3" a="1"/>
  <c r="E51" i="3" s="1"/>
  <c r="F51" i="3" a="1"/>
  <c r="F51" i="3" s="1"/>
  <c r="G51" i="3" a="1"/>
  <c r="G51" i="3" s="1"/>
  <c r="H51" i="3" a="1"/>
  <c r="H51" i="3" s="1"/>
  <c r="I51" i="3" a="1"/>
  <c r="I51" i="3" s="1"/>
  <c r="J51" i="3" a="1"/>
  <c r="J51" i="3" s="1"/>
  <c r="K51" i="3" a="1"/>
  <c r="K51" i="3" s="1"/>
  <c r="L51" i="3" a="1"/>
  <c r="L51" i="3" s="1"/>
  <c r="M51" i="3" a="1"/>
  <c r="M51" i="3" s="1"/>
  <c r="N51" i="3" a="1"/>
  <c r="N51" i="3" s="1"/>
  <c r="O51" i="3" a="1"/>
  <c r="O51" i="3" s="1"/>
  <c r="P51" i="3" a="1"/>
  <c r="P51" i="3" s="1"/>
  <c r="Q51" i="3" a="1"/>
  <c r="Q51" i="3" s="1"/>
  <c r="A52" i="3" a="1"/>
  <c r="A52" i="3" s="1"/>
  <c r="B52" i="3" a="1"/>
  <c r="B52" i="3" s="1"/>
  <c r="D52" i="3" a="1"/>
  <c r="D52" i="3" s="1"/>
  <c r="E52" i="3" a="1"/>
  <c r="E52" i="3" s="1"/>
  <c r="F52" i="3" a="1"/>
  <c r="F52" i="3" s="1"/>
  <c r="G52" i="3" a="1"/>
  <c r="G52" i="3" s="1"/>
  <c r="H52" i="3" a="1"/>
  <c r="H52" i="3" s="1"/>
  <c r="I52" i="3" a="1"/>
  <c r="I52" i="3" s="1"/>
  <c r="J52" i="3" a="1"/>
  <c r="J52" i="3" s="1"/>
  <c r="K52" i="3" a="1"/>
  <c r="K52" i="3" s="1"/>
  <c r="L52" i="3" a="1"/>
  <c r="L52" i="3" s="1"/>
  <c r="M52" i="3" a="1"/>
  <c r="M52" i="3" s="1"/>
  <c r="N52" i="3" a="1"/>
  <c r="N52" i="3" s="1"/>
  <c r="O52" i="3" a="1"/>
  <c r="O52" i="3" s="1"/>
  <c r="P52" i="3" a="1"/>
  <c r="P52" i="3" s="1"/>
  <c r="Q52" i="3" a="1"/>
  <c r="Q52" i="3" s="1"/>
  <c r="A53" i="3" a="1"/>
  <c r="A53" i="3" s="1"/>
  <c r="B53" i="3" a="1"/>
  <c r="B53" i="3" s="1"/>
  <c r="D53" i="3" a="1"/>
  <c r="D53" i="3" s="1"/>
  <c r="E53" i="3" a="1"/>
  <c r="E53" i="3" s="1"/>
  <c r="F53" i="3" a="1"/>
  <c r="F53" i="3" s="1"/>
  <c r="G53" i="3" a="1"/>
  <c r="G53" i="3" s="1"/>
  <c r="H53" i="3" a="1"/>
  <c r="H53" i="3" s="1"/>
  <c r="I53" i="3" a="1"/>
  <c r="I53" i="3" s="1"/>
  <c r="J53" i="3" a="1"/>
  <c r="J53" i="3" s="1"/>
  <c r="K53" i="3" a="1"/>
  <c r="K53" i="3" s="1"/>
  <c r="L53" i="3" a="1"/>
  <c r="L53" i="3" s="1"/>
  <c r="M53" i="3" a="1"/>
  <c r="M53" i="3" s="1"/>
  <c r="N53" i="3" a="1"/>
  <c r="N53" i="3" s="1"/>
  <c r="O53" i="3" a="1"/>
  <c r="O53" i="3" s="1"/>
  <c r="P53" i="3" a="1"/>
  <c r="P53" i="3" s="1"/>
  <c r="Q53" i="3" a="1"/>
  <c r="Q53" i="3" s="1"/>
  <c r="A54" i="3" a="1"/>
  <c r="A54" i="3" s="1"/>
  <c r="B54" i="3" a="1"/>
  <c r="B54" i="3" s="1"/>
  <c r="D54" i="3" a="1"/>
  <c r="D54" i="3" s="1"/>
  <c r="E54" i="3" a="1"/>
  <c r="E54" i="3" s="1"/>
  <c r="F54" i="3" a="1"/>
  <c r="F54" i="3" s="1"/>
  <c r="G54" i="3" a="1"/>
  <c r="G54" i="3" s="1"/>
  <c r="H54" i="3" a="1"/>
  <c r="H54" i="3" s="1"/>
  <c r="I54" i="3" a="1"/>
  <c r="I54" i="3" s="1"/>
  <c r="J54" i="3" a="1"/>
  <c r="J54" i="3" s="1"/>
  <c r="K54" i="3" a="1"/>
  <c r="K54" i="3" s="1"/>
  <c r="L54" i="3" a="1"/>
  <c r="L54" i="3" s="1"/>
  <c r="M54" i="3" a="1"/>
  <c r="M54" i="3" s="1"/>
  <c r="N54" i="3" a="1"/>
  <c r="N54" i="3" s="1"/>
  <c r="O54" i="3" a="1"/>
  <c r="O54" i="3" s="1"/>
  <c r="P54" i="3" a="1"/>
  <c r="P54" i="3" s="1"/>
  <c r="Q54" i="3" a="1"/>
  <c r="Q54" i="3" s="1"/>
  <c r="A55" i="3" a="1"/>
  <c r="A55" i="3" s="1"/>
  <c r="B55" i="3" a="1"/>
  <c r="B55" i="3" s="1"/>
  <c r="D55" i="3" a="1"/>
  <c r="D55" i="3" s="1"/>
  <c r="E55" i="3" a="1"/>
  <c r="E55" i="3" s="1"/>
  <c r="F55" i="3" a="1"/>
  <c r="F55" i="3" s="1"/>
  <c r="G55" i="3" a="1"/>
  <c r="G55" i="3" s="1"/>
  <c r="H55" i="3" a="1"/>
  <c r="H55" i="3" s="1"/>
  <c r="I55" i="3" a="1"/>
  <c r="I55" i="3" s="1"/>
  <c r="J55" i="3" a="1"/>
  <c r="J55" i="3" s="1"/>
  <c r="K55" i="3" a="1"/>
  <c r="K55" i="3" s="1"/>
  <c r="L55" i="3" a="1"/>
  <c r="L55" i="3" s="1"/>
  <c r="M55" i="3" a="1"/>
  <c r="M55" i="3" s="1"/>
  <c r="N55" i="3" a="1"/>
  <c r="N55" i="3" s="1"/>
  <c r="O55" i="3" a="1"/>
  <c r="O55" i="3" s="1"/>
  <c r="P55" i="3" a="1"/>
  <c r="P55" i="3" s="1"/>
  <c r="Q55" i="3" a="1"/>
  <c r="Q55" i="3" s="1"/>
  <c r="A56" i="3" a="1"/>
  <c r="A56" i="3" s="1"/>
  <c r="B56" i="3" a="1"/>
  <c r="B56" i="3" s="1"/>
  <c r="D56" i="3" a="1"/>
  <c r="D56" i="3" s="1"/>
  <c r="E56" i="3" a="1"/>
  <c r="E56" i="3" s="1"/>
  <c r="F56" i="3" a="1"/>
  <c r="F56" i="3" s="1"/>
  <c r="G56" i="3" a="1"/>
  <c r="G56" i="3" s="1"/>
  <c r="H56" i="3" a="1"/>
  <c r="H56" i="3" s="1"/>
  <c r="I56" i="3" a="1"/>
  <c r="I56" i="3" s="1"/>
  <c r="J56" i="3" a="1"/>
  <c r="J56" i="3" s="1"/>
  <c r="K56" i="3" a="1"/>
  <c r="K56" i="3" s="1"/>
  <c r="L56" i="3" a="1"/>
  <c r="L56" i="3" s="1"/>
  <c r="M56" i="3" a="1"/>
  <c r="M56" i="3" s="1"/>
  <c r="N56" i="3" a="1"/>
  <c r="N56" i="3" s="1"/>
  <c r="O56" i="3" a="1"/>
  <c r="O56" i="3" s="1"/>
  <c r="P56" i="3" a="1"/>
  <c r="P56" i="3" s="1"/>
  <c r="Q56" i="3" a="1"/>
  <c r="Q56" i="3" s="1"/>
  <c r="A57" i="3" a="1"/>
  <c r="A57" i="3" s="1"/>
  <c r="B57" i="3" a="1"/>
  <c r="B57" i="3" s="1"/>
  <c r="D57" i="3" a="1"/>
  <c r="D57" i="3" s="1"/>
  <c r="E57" i="3" a="1"/>
  <c r="E57" i="3" s="1"/>
  <c r="F57" i="3" a="1"/>
  <c r="F57" i="3" s="1"/>
  <c r="G57" i="3" a="1"/>
  <c r="G57" i="3" s="1"/>
  <c r="H57" i="3" a="1"/>
  <c r="H57" i="3" s="1"/>
  <c r="I57" i="3" a="1"/>
  <c r="I57" i="3" s="1"/>
  <c r="J57" i="3" a="1"/>
  <c r="J57" i="3" s="1"/>
  <c r="K57" i="3" a="1"/>
  <c r="K57" i="3" s="1"/>
  <c r="L57" i="3" a="1"/>
  <c r="L57" i="3" s="1"/>
  <c r="M57" i="3" a="1"/>
  <c r="M57" i="3" s="1"/>
  <c r="N57" i="3" a="1"/>
  <c r="N57" i="3" s="1"/>
  <c r="O57" i="3" a="1"/>
  <c r="O57" i="3" s="1"/>
  <c r="P57" i="3" a="1"/>
  <c r="P57" i="3" s="1"/>
  <c r="Q57" i="3" a="1"/>
  <c r="Q57" i="3" s="1"/>
  <c r="A58" i="3" a="1"/>
  <c r="A58" i="3" s="1"/>
  <c r="B58" i="3" a="1"/>
  <c r="B58" i="3" s="1"/>
  <c r="D58" i="3" a="1"/>
  <c r="D58" i="3" s="1"/>
  <c r="E58" i="3" a="1"/>
  <c r="E58" i="3" s="1"/>
  <c r="F58" i="3" a="1"/>
  <c r="F58" i="3" s="1"/>
  <c r="G58" i="3" a="1"/>
  <c r="G58" i="3" s="1"/>
  <c r="H58" i="3" a="1"/>
  <c r="H58" i="3" s="1"/>
  <c r="I58" i="3" a="1"/>
  <c r="I58" i="3" s="1"/>
  <c r="J58" i="3" a="1"/>
  <c r="J58" i="3" s="1"/>
  <c r="K58" i="3" a="1"/>
  <c r="K58" i="3" s="1"/>
  <c r="L58" i="3" a="1"/>
  <c r="L58" i="3" s="1"/>
  <c r="M58" i="3" a="1"/>
  <c r="M58" i="3" s="1"/>
  <c r="N58" i="3" a="1"/>
  <c r="N58" i="3" s="1"/>
  <c r="O58" i="3" a="1"/>
  <c r="O58" i="3" s="1"/>
  <c r="P58" i="3" a="1"/>
  <c r="P58" i="3" s="1"/>
  <c r="Q58" i="3" a="1"/>
  <c r="Q58" i="3" s="1"/>
  <c r="A59" i="3" a="1"/>
  <c r="A59" i="3" s="1"/>
  <c r="B59" i="3" a="1"/>
  <c r="B59" i="3" s="1"/>
  <c r="D59" i="3" a="1"/>
  <c r="D59" i="3" s="1"/>
  <c r="E59" i="3" a="1"/>
  <c r="E59" i="3" s="1"/>
  <c r="F59" i="3" a="1"/>
  <c r="F59" i="3" s="1"/>
  <c r="G59" i="3" a="1"/>
  <c r="G59" i="3" s="1"/>
  <c r="H59" i="3" a="1"/>
  <c r="H59" i="3" s="1"/>
  <c r="I59" i="3" a="1"/>
  <c r="I59" i="3" s="1"/>
  <c r="J59" i="3" a="1"/>
  <c r="J59" i="3" s="1"/>
  <c r="K59" i="3" a="1"/>
  <c r="K59" i="3" s="1"/>
  <c r="L59" i="3" a="1"/>
  <c r="L59" i="3" s="1"/>
  <c r="M59" i="3" a="1"/>
  <c r="M59" i="3" s="1"/>
  <c r="N59" i="3" a="1"/>
  <c r="N59" i="3" s="1"/>
  <c r="O59" i="3" a="1"/>
  <c r="O59" i="3" s="1"/>
  <c r="P59" i="3" a="1"/>
  <c r="P59" i="3" s="1"/>
  <c r="Q59" i="3" a="1"/>
  <c r="Q59" i="3" s="1"/>
  <c r="A60" i="3" a="1"/>
  <c r="A60" i="3" s="1"/>
  <c r="B60" i="3" a="1"/>
  <c r="B60" i="3" s="1"/>
  <c r="D60" i="3" a="1"/>
  <c r="D60" i="3" s="1"/>
  <c r="E60" i="3" a="1"/>
  <c r="E60" i="3" s="1"/>
  <c r="F60" i="3" a="1"/>
  <c r="F60" i="3" s="1"/>
  <c r="G60" i="3" a="1"/>
  <c r="G60" i="3" s="1"/>
  <c r="H60" i="3" a="1"/>
  <c r="H60" i="3" s="1"/>
  <c r="I60" i="3" a="1"/>
  <c r="I60" i="3" s="1"/>
  <c r="J60" i="3" a="1"/>
  <c r="J60" i="3" s="1"/>
  <c r="K60" i="3" a="1"/>
  <c r="K60" i="3" s="1"/>
  <c r="L60" i="3" a="1"/>
  <c r="L60" i="3" s="1"/>
  <c r="M60" i="3" a="1"/>
  <c r="M60" i="3" s="1"/>
  <c r="N60" i="3" a="1"/>
  <c r="N60" i="3" s="1"/>
  <c r="O60" i="3" a="1"/>
  <c r="O60" i="3" s="1"/>
  <c r="P60" i="3" a="1"/>
  <c r="P60" i="3" s="1"/>
  <c r="Q60" i="3" a="1"/>
  <c r="Q60" i="3" s="1"/>
  <c r="A61" i="3" a="1"/>
  <c r="A61" i="3" s="1"/>
  <c r="B61" i="3" a="1"/>
  <c r="B61" i="3" s="1"/>
  <c r="D61" i="3" a="1"/>
  <c r="D61" i="3" s="1"/>
  <c r="E61" i="3" a="1"/>
  <c r="E61" i="3" s="1"/>
  <c r="F61" i="3" a="1"/>
  <c r="F61" i="3" s="1"/>
  <c r="G61" i="3" a="1"/>
  <c r="G61" i="3" s="1"/>
  <c r="H61" i="3" a="1"/>
  <c r="H61" i="3" s="1"/>
  <c r="I61" i="3" a="1"/>
  <c r="I61" i="3" s="1"/>
  <c r="J61" i="3" a="1"/>
  <c r="J61" i="3" s="1"/>
  <c r="K61" i="3" a="1"/>
  <c r="K61" i="3" s="1"/>
  <c r="L61" i="3" a="1"/>
  <c r="L61" i="3" s="1"/>
  <c r="M61" i="3" a="1"/>
  <c r="M61" i="3" s="1"/>
  <c r="N61" i="3" a="1"/>
  <c r="N61" i="3" s="1"/>
  <c r="O61" i="3" a="1"/>
  <c r="O61" i="3" s="1"/>
  <c r="P61" i="3" a="1"/>
  <c r="P61" i="3" s="1"/>
  <c r="Q61" i="3" a="1"/>
  <c r="Q61" i="3" s="1"/>
  <c r="A62" i="3" a="1"/>
  <c r="A62" i="3" s="1"/>
  <c r="B62" i="3" a="1"/>
  <c r="B62" i="3" s="1"/>
  <c r="D62" i="3" a="1"/>
  <c r="D62" i="3" s="1"/>
  <c r="E62" i="3" a="1"/>
  <c r="E62" i="3" s="1"/>
  <c r="F62" i="3" a="1"/>
  <c r="F62" i="3" s="1"/>
  <c r="G62" i="3" a="1"/>
  <c r="G62" i="3" s="1"/>
  <c r="H62" i="3" a="1"/>
  <c r="H62" i="3" s="1"/>
  <c r="I62" i="3" a="1"/>
  <c r="I62" i="3" s="1"/>
  <c r="J62" i="3" a="1"/>
  <c r="J62" i="3" s="1"/>
  <c r="K62" i="3" a="1"/>
  <c r="K62" i="3" s="1"/>
  <c r="L62" i="3" a="1"/>
  <c r="L62" i="3" s="1"/>
  <c r="M62" i="3" a="1"/>
  <c r="M62" i="3" s="1"/>
  <c r="N62" i="3" a="1"/>
  <c r="N62" i="3" s="1"/>
  <c r="O62" i="3" a="1"/>
  <c r="O62" i="3" s="1"/>
  <c r="P62" i="3" a="1"/>
  <c r="P62" i="3" s="1"/>
  <c r="Q62" i="3" a="1"/>
  <c r="Q62" i="3" s="1"/>
  <c r="A63" i="3" a="1"/>
  <c r="A63" i="3" s="1"/>
  <c r="B63" i="3" a="1"/>
  <c r="B63" i="3" s="1"/>
  <c r="D63" i="3" a="1"/>
  <c r="D63" i="3" s="1"/>
  <c r="E63" i="3" a="1"/>
  <c r="E63" i="3" s="1"/>
  <c r="F63" i="3" a="1"/>
  <c r="F63" i="3" s="1"/>
  <c r="G63" i="3" a="1"/>
  <c r="G63" i="3" s="1"/>
  <c r="H63" i="3" a="1"/>
  <c r="H63" i="3" s="1"/>
  <c r="I63" i="3" a="1"/>
  <c r="I63" i="3" s="1"/>
  <c r="J63" i="3" a="1"/>
  <c r="J63" i="3" s="1"/>
  <c r="K63" i="3" a="1"/>
  <c r="K63" i="3" s="1"/>
  <c r="L63" i="3" a="1"/>
  <c r="L63" i="3" s="1"/>
  <c r="M63" i="3" a="1"/>
  <c r="M63" i="3" s="1"/>
  <c r="N63" i="3" a="1"/>
  <c r="N63" i="3" s="1"/>
  <c r="O63" i="3" a="1"/>
  <c r="O63" i="3" s="1"/>
  <c r="P63" i="3" a="1"/>
  <c r="P63" i="3" s="1"/>
  <c r="Q63" i="3" a="1"/>
  <c r="Q63" i="3" s="1"/>
  <c r="A64" i="3" a="1"/>
  <c r="A64" i="3" s="1"/>
  <c r="B64" i="3" a="1"/>
  <c r="B64" i="3" s="1"/>
  <c r="D64" i="3" a="1"/>
  <c r="D64" i="3" s="1"/>
  <c r="E64" i="3" a="1"/>
  <c r="E64" i="3" s="1"/>
  <c r="F64" i="3" a="1"/>
  <c r="F64" i="3" s="1"/>
  <c r="G64" i="3" a="1"/>
  <c r="G64" i="3" s="1"/>
  <c r="H64" i="3" a="1"/>
  <c r="H64" i="3" s="1"/>
  <c r="I64" i="3" a="1"/>
  <c r="I64" i="3" s="1"/>
  <c r="J64" i="3" a="1"/>
  <c r="J64" i="3" s="1"/>
  <c r="K64" i="3" a="1"/>
  <c r="K64" i="3" s="1"/>
  <c r="L64" i="3" a="1"/>
  <c r="L64" i="3" s="1"/>
  <c r="M64" i="3" a="1"/>
  <c r="M64" i="3" s="1"/>
  <c r="N64" i="3" a="1"/>
  <c r="N64" i="3" s="1"/>
  <c r="O64" i="3" a="1"/>
  <c r="O64" i="3" s="1"/>
  <c r="P64" i="3" a="1"/>
  <c r="P64" i="3" s="1"/>
  <c r="Q64" i="3" a="1"/>
  <c r="Q64" i="3" s="1"/>
  <c r="A65" i="3" a="1"/>
  <c r="A65" i="3" s="1"/>
  <c r="B65" i="3" a="1"/>
  <c r="B65" i="3" s="1"/>
  <c r="D65" i="3" a="1"/>
  <c r="D65" i="3" s="1"/>
  <c r="E65" i="3" a="1"/>
  <c r="E65" i="3" s="1"/>
  <c r="F65" i="3" a="1"/>
  <c r="F65" i="3" s="1"/>
  <c r="G65" i="3" a="1"/>
  <c r="G65" i="3" s="1"/>
  <c r="H65" i="3" a="1"/>
  <c r="H65" i="3" s="1"/>
  <c r="I65" i="3" a="1"/>
  <c r="I65" i="3" s="1"/>
  <c r="J65" i="3" a="1"/>
  <c r="J65" i="3" s="1"/>
  <c r="K65" i="3" a="1"/>
  <c r="K65" i="3" s="1"/>
  <c r="L65" i="3" a="1"/>
  <c r="L65" i="3" s="1"/>
  <c r="M65" i="3" a="1"/>
  <c r="M65" i="3" s="1"/>
  <c r="N65" i="3" a="1"/>
  <c r="N65" i="3" s="1"/>
  <c r="O65" i="3" a="1"/>
  <c r="O65" i="3" s="1"/>
  <c r="P65" i="3" a="1"/>
  <c r="P65" i="3" s="1"/>
  <c r="Q65" i="3" a="1"/>
  <c r="Q65" i="3" s="1"/>
  <c r="A66" i="3" a="1"/>
  <c r="A66" i="3" s="1"/>
  <c r="B66" i="3" a="1"/>
  <c r="B66" i="3" s="1"/>
  <c r="D66" i="3" a="1"/>
  <c r="D66" i="3" s="1"/>
  <c r="E66" i="3" a="1"/>
  <c r="E66" i="3" s="1"/>
  <c r="F66" i="3" a="1"/>
  <c r="F66" i="3" s="1"/>
  <c r="G66" i="3" a="1"/>
  <c r="G66" i="3" s="1"/>
  <c r="H66" i="3" a="1"/>
  <c r="H66" i="3" s="1"/>
  <c r="I66" i="3" a="1"/>
  <c r="I66" i="3" s="1"/>
  <c r="J66" i="3" a="1"/>
  <c r="J66" i="3" s="1"/>
  <c r="K66" i="3" a="1"/>
  <c r="K66" i="3" s="1"/>
  <c r="L66" i="3" a="1"/>
  <c r="L66" i="3" s="1"/>
  <c r="M66" i="3" a="1"/>
  <c r="M66" i="3" s="1"/>
  <c r="N66" i="3" a="1"/>
  <c r="N66" i="3" s="1"/>
  <c r="O66" i="3" a="1"/>
  <c r="O66" i="3" s="1"/>
  <c r="P66" i="3" a="1"/>
  <c r="P66" i="3" s="1"/>
  <c r="Q66" i="3" a="1"/>
  <c r="Q66" i="3" s="1"/>
  <c r="A67" i="3" a="1"/>
  <c r="A67" i="3" s="1"/>
  <c r="B67" i="3" a="1"/>
  <c r="B67" i="3" s="1"/>
  <c r="D67" i="3" a="1"/>
  <c r="D67" i="3" s="1"/>
  <c r="E67" i="3" a="1"/>
  <c r="E67" i="3" s="1"/>
  <c r="F67" i="3" a="1"/>
  <c r="F67" i="3" s="1"/>
  <c r="G67" i="3" a="1"/>
  <c r="G67" i="3" s="1"/>
  <c r="H67" i="3" a="1"/>
  <c r="H67" i="3" s="1"/>
  <c r="I67" i="3" a="1"/>
  <c r="I67" i="3" s="1"/>
  <c r="J67" i="3" a="1"/>
  <c r="J67" i="3" s="1"/>
  <c r="K67" i="3" a="1"/>
  <c r="K67" i="3" s="1"/>
  <c r="L67" i="3" a="1"/>
  <c r="L67" i="3" s="1"/>
  <c r="M67" i="3" a="1"/>
  <c r="M67" i="3" s="1"/>
  <c r="N67" i="3" a="1"/>
  <c r="N67" i="3" s="1"/>
  <c r="O67" i="3" a="1"/>
  <c r="O67" i="3" s="1"/>
  <c r="P67" i="3" a="1"/>
  <c r="P67" i="3" s="1"/>
  <c r="Q67" i="3" a="1"/>
  <c r="Q67" i="3" s="1"/>
  <c r="A68" i="3" a="1"/>
  <c r="A68" i="3" s="1"/>
  <c r="B68" i="3" a="1"/>
  <c r="B68" i="3" s="1"/>
  <c r="D68" i="3" a="1"/>
  <c r="D68" i="3" s="1"/>
  <c r="E68" i="3" a="1"/>
  <c r="E68" i="3" s="1"/>
  <c r="F68" i="3" a="1"/>
  <c r="F68" i="3" s="1"/>
  <c r="G68" i="3" a="1"/>
  <c r="G68" i="3" s="1"/>
  <c r="H68" i="3" a="1"/>
  <c r="H68" i="3" s="1"/>
  <c r="I68" i="3" a="1"/>
  <c r="I68" i="3" s="1"/>
  <c r="J68" i="3" a="1"/>
  <c r="J68" i="3" s="1"/>
  <c r="K68" i="3" a="1"/>
  <c r="K68" i="3" s="1"/>
  <c r="L68" i="3" a="1"/>
  <c r="L68" i="3" s="1"/>
  <c r="M68" i="3" a="1"/>
  <c r="M68" i="3" s="1"/>
  <c r="N68" i="3" a="1"/>
  <c r="N68" i="3" s="1"/>
  <c r="O68" i="3" a="1"/>
  <c r="O68" i="3" s="1"/>
  <c r="P68" i="3" a="1"/>
  <c r="P68" i="3" s="1"/>
  <c r="Q68" i="3" a="1"/>
  <c r="Q68" i="3" s="1"/>
  <c r="A69" i="3" a="1"/>
  <c r="A69" i="3" s="1"/>
  <c r="B69" i="3" a="1"/>
  <c r="B69" i="3" s="1"/>
  <c r="D69" i="3" a="1"/>
  <c r="D69" i="3" s="1"/>
  <c r="E69" i="3" a="1"/>
  <c r="E69" i="3" s="1"/>
  <c r="F69" i="3" a="1"/>
  <c r="F69" i="3" s="1"/>
  <c r="G69" i="3" a="1"/>
  <c r="G69" i="3" s="1"/>
  <c r="H69" i="3" a="1"/>
  <c r="H69" i="3" s="1"/>
  <c r="I69" i="3" a="1"/>
  <c r="I69" i="3" s="1"/>
  <c r="J69" i="3" a="1"/>
  <c r="J69" i="3" s="1"/>
  <c r="K69" i="3" a="1"/>
  <c r="K69" i="3" s="1"/>
  <c r="L69" i="3" a="1"/>
  <c r="L69" i="3" s="1"/>
  <c r="M69" i="3" a="1"/>
  <c r="M69" i="3" s="1"/>
  <c r="N69" i="3" a="1"/>
  <c r="N69" i="3" s="1"/>
  <c r="O69" i="3" a="1"/>
  <c r="O69" i="3" s="1"/>
  <c r="P69" i="3" a="1"/>
  <c r="P69" i="3" s="1"/>
  <c r="Q69" i="3" a="1"/>
  <c r="Q69" i="3" s="1"/>
  <c r="A70" i="3" a="1"/>
  <c r="A70" i="3" s="1"/>
  <c r="B70" i="3" a="1"/>
  <c r="B70" i="3" s="1"/>
  <c r="D70" i="3" a="1"/>
  <c r="D70" i="3" s="1"/>
  <c r="E70" i="3" a="1"/>
  <c r="E70" i="3" s="1"/>
  <c r="F70" i="3" a="1"/>
  <c r="F70" i="3" s="1"/>
  <c r="G70" i="3" a="1"/>
  <c r="G70" i="3" s="1"/>
  <c r="H70" i="3" a="1"/>
  <c r="H70" i="3" s="1"/>
  <c r="I70" i="3" a="1"/>
  <c r="I70" i="3" s="1"/>
  <c r="J70" i="3" a="1"/>
  <c r="J70" i="3" s="1"/>
  <c r="K70" i="3" a="1"/>
  <c r="K70" i="3" s="1"/>
  <c r="L70" i="3" a="1"/>
  <c r="L70" i="3" s="1"/>
  <c r="M70" i="3" a="1"/>
  <c r="M70" i="3" s="1"/>
  <c r="N70" i="3" a="1"/>
  <c r="N70" i="3" s="1"/>
  <c r="O70" i="3" a="1"/>
  <c r="O70" i="3" s="1"/>
  <c r="P70" i="3" a="1"/>
  <c r="P70" i="3" s="1"/>
  <c r="Q70" i="3" a="1"/>
  <c r="Q70" i="3" s="1"/>
  <c r="A71" i="3" a="1"/>
  <c r="A71" i="3" s="1"/>
  <c r="B71" i="3" a="1"/>
  <c r="B71" i="3" s="1"/>
  <c r="D71" i="3" a="1"/>
  <c r="D71" i="3" s="1"/>
  <c r="E71" i="3" a="1"/>
  <c r="E71" i="3" s="1"/>
  <c r="F71" i="3" a="1"/>
  <c r="F71" i="3" s="1"/>
  <c r="G71" i="3" a="1"/>
  <c r="G71" i="3" s="1"/>
  <c r="H71" i="3" a="1"/>
  <c r="H71" i="3" s="1"/>
  <c r="I71" i="3" a="1"/>
  <c r="I71" i="3" s="1"/>
  <c r="J71" i="3" a="1"/>
  <c r="J71" i="3" s="1"/>
  <c r="K71" i="3" a="1"/>
  <c r="K71" i="3" s="1"/>
  <c r="L71" i="3" a="1"/>
  <c r="L71" i="3" s="1"/>
  <c r="M71" i="3" a="1"/>
  <c r="M71" i="3" s="1"/>
  <c r="N71" i="3" a="1"/>
  <c r="N71" i="3" s="1"/>
  <c r="O71" i="3" a="1"/>
  <c r="O71" i="3" s="1"/>
  <c r="P71" i="3" a="1"/>
  <c r="P71" i="3" s="1"/>
  <c r="Q71" i="3" a="1"/>
  <c r="Q71" i="3" s="1"/>
  <c r="A72" i="3" a="1"/>
  <c r="A72" i="3" s="1"/>
  <c r="B72" i="3" a="1"/>
  <c r="B72" i="3" s="1"/>
  <c r="D72" i="3" a="1"/>
  <c r="D72" i="3" s="1"/>
  <c r="E72" i="3" a="1"/>
  <c r="E72" i="3" s="1"/>
  <c r="F72" i="3" a="1"/>
  <c r="F72" i="3" s="1"/>
  <c r="G72" i="3" a="1"/>
  <c r="G72" i="3" s="1"/>
  <c r="H72" i="3" a="1"/>
  <c r="H72" i="3" s="1"/>
  <c r="I72" i="3" a="1"/>
  <c r="I72" i="3" s="1"/>
  <c r="J72" i="3" a="1"/>
  <c r="J72" i="3" s="1"/>
  <c r="K72" i="3" a="1"/>
  <c r="K72" i="3" s="1"/>
  <c r="L72" i="3" a="1"/>
  <c r="L72" i="3" s="1"/>
  <c r="M72" i="3" a="1"/>
  <c r="M72" i="3" s="1"/>
  <c r="N72" i="3" a="1"/>
  <c r="N72" i="3" s="1"/>
  <c r="O72" i="3" a="1"/>
  <c r="O72" i="3" s="1"/>
  <c r="P72" i="3" a="1"/>
  <c r="P72" i="3" s="1"/>
  <c r="Q72" i="3" a="1"/>
  <c r="Q72" i="3" s="1"/>
  <c r="A73" i="3" a="1"/>
  <c r="A73" i="3" s="1"/>
  <c r="B73" i="3" a="1"/>
  <c r="B73" i="3" s="1"/>
  <c r="D73" i="3" a="1"/>
  <c r="D73" i="3" s="1"/>
  <c r="E73" i="3" a="1"/>
  <c r="E73" i="3" s="1"/>
  <c r="F73" i="3" a="1"/>
  <c r="F73" i="3" s="1"/>
  <c r="G73" i="3" a="1"/>
  <c r="G73" i="3" s="1"/>
  <c r="H73" i="3" a="1"/>
  <c r="H73" i="3" s="1"/>
  <c r="I73" i="3" a="1"/>
  <c r="I73" i="3" s="1"/>
  <c r="J73" i="3" a="1"/>
  <c r="J73" i="3" s="1"/>
  <c r="K73" i="3" a="1"/>
  <c r="K73" i="3" s="1"/>
  <c r="L73" i="3" a="1"/>
  <c r="L73" i="3" s="1"/>
  <c r="M73" i="3" a="1"/>
  <c r="M73" i="3" s="1"/>
  <c r="N73" i="3" a="1"/>
  <c r="N73" i="3" s="1"/>
  <c r="O73" i="3" a="1"/>
  <c r="O73" i="3" s="1"/>
  <c r="P73" i="3" a="1"/>
  <c r="P73" i="3" s="1"/>
  <c r="Q73" i="3" a="1"/>
  <c r="Q73" i="3" s="1"/>
  <c r="A74" i="3" a="1"/>
  <c r="A74" i="3" s="1"/>
  <c r="B74" i="3" a="1"/>
  <c r="B74" i="3" s="1"/>
  <c r="D74" i="3" a="1"/>
  <c r="D74" i="3" s="1"/>
  <c r="E74" i="3" a="1"/>
  <c r="E74" i="3" s="1"/>
  <c r="F74" i="3" a="1"/>
  <c r="F74" i="3" s="1"/>
  <c r="G74" i="3" a="1"/>
  <c r="G74" i="3" s="1"/>
  <c r="H74" i="3" a="1"/>
  <c r="H74" i="3" s="1"/>
  <c r="I74" i="3" a="1"/>
  <c r="I74" i="3" s="1"/>
  <c r="J74" i="3" a="1"/>
  <c r="J74" i="3" s="1"/>
  <c r="K74" i="3" a="1"/>
  <c r="K74" i="3" s="1"/>
  <c r="L74" i="3" a="1"/>
  <c r="L74" i="3" s="1"/>
  <c r="M74" i="3" a="1"/>
  <c r="M74" i="3" s="1"/>
  <c r="N74" i="3" a="1"/>
  <c r="N74" i="3" s="1"/>
  <c r="O74" i="3" a="1"/>
  <c r="O74" i="3" s="1"/>
  <c r="P74" i="3" a="1"/>
  <c r="P74" i="3" s="1"/>
  <c r="Q74" i="3" a="1"/>
  <c r="Q74" i="3" s="1"/>
  <c r="A75" i="3" a="1"/>
  <c r="A75" i="3" s="1"/>
  <c r="B75" i="3" a="1"/>
  <c r="B75" i="3" s="1"/>
  <c r="D75" i="3" a="1"/>
  <c r="D75" i="3" s="1"/>
  <c r="E75" i="3" a="1"/>
  <c r="E75" i="3" s="1"/>
  <c r="F75" i="3" a="1"/>
  <c r="F75" i="3" s="1"/>
  <c r="G75" i="3" a="1"/>
  <c r="G75" i="3" s="1"/>
  <c r="H75" i="3" a="1"/>
  <c r="H75" i="3" s="1"/>
  <c r="I75" i="3" a="1"/>
  <c r="I75" i="3" s="1"/>
  <c r="J75" i="3" a="1"/>
  <c r="J75" i="3" s="1"/>
  <c r="K75" i="3" a="1"/>
  <c r="K75" i="3" s="1"/>
  <c r="L75" i="3" a="1"/>
  <c r="L75" i="3" s="1"/>
  <c r="M75" i="3" a="1"/>
  <c r="M75" i="3" s="1"/>
  <c r="N75" i="3" a="1"/>
  <c r="N75" i="3" s="1"/>
  <c r="O75" i="3" a="1"/>
  <c r="O75" i="3" s="1"/>
  <c r="P75" i="3" a="1"/>
  <c r="P75" i="3" s="1"/>
  <c r="Q75" i="3" a="1"/>
  <c r="Q75" i="3" s="1"/>
  <c r="A76" i="3" a="1"/>
  <c r="A76" i="3" s="1"/>
  <c r="B76" i="3" a="1"/>
  <c r="B76" i="3" s="1"/>
  <c r="D76" i="3" a="1"/>
  <c r="D76" i="3" s="1"/>
  <c r="E76" i="3" a="1"/>
  <c r="E76" i="3" s="1"/>
  <c r="F76" i="3" a="1"/>
  <c r="F76" i="3" s="1"/>
  <c r="G76" i="3" a="1"/>
  <c r="G76" i="3" s="1"/>
  <c r="H76" i="3" a="1"/>
  <c r="H76" i="3" s="1"/>
  <c r="I76" i="3" a="1"/>
  <c r="I76" i="3" s="1"/>
  <c r="J76" i="3" a="1"/>
  <c r="J76" i="3" s="1"/>
  <c r="K76" i="3" a="1"/>
  <c r="K76" i="3" s="1"/>
  <c r="L76" i="3" a="1"/>
  <c r="L76" i="3" s="1"/>
  <c r="M76" i="3" a="1"/>
  <c r="M76" i="3" s="1"/>
  <c r="N76" i="3" a="1"/>
  <c r="N76" i="3" s="1"/>
  <c r="O76" i="3" a="1"/>
  <c r="O76" i="3" s="1"/>
  <c r="P76" i="3" a="1"/>
  <c r="P76" i="3" s="1"/>
  <c r="Q76" i="3" a="1"/>
  <c r="Q76" i="3" s="1"/>
  <c r="A77" i="3" a="1"/>
  <c r="A77" i="3" s="1"/>
  <c r="B77" i="3" a="1"/>
  <c r="B77" i="3" s="1"/>
  <c r="D77" i="3" a="1"/>
  <c r="D77" i="3" s="1"/>
  <c r="E77" i="3" a="1"/>
  <c r="E77" i="3" s="1"/>
  <c r="F77" i="3" a="1"/>
  <c r="F77" i="3" s="1"/>
  <c r="G77" i="3" a="1"/>
  <c r="G77" i="3" s="1"/>
  <c r="H77" i="3" a="1"/>
  <c r="H77" i="3" s="1"/>
  <c r="I77" i="3" a="1"/>
  <c r="I77" i="3" s="1"/>
  <c r="J77" i="3" a="1"/>
  <c r="J77" i="3" s="1"/>
  <c r="K77" i="3" a="1"/>
  <c r="K77" i="3" s="1"/>
  <c r="L77" i="3" a="1"/>
  <c r="L77" i="3" s="1"/>
  <c r="M77" i="3" a="1"/>
  <c r="M77" i="3" s="1"/>
  <c r="N77" i="3" a="1"/>
  <c r="N77" i="3" s="1"/>
  <c r="O77" i="3" a="1"/>
  <c r="O77" i="3" s="1"/>
  <c r="P77" i="3" a="1"/>
  <c r="P77" i="3" s="1"/>
  <c r="Q77" i="3" a="1"/>
  <c r="Q77" i="3" s="1"/>
  <c r="A78" i="3" a="1"/>
  <c r="A78" i="3" s="1"/>
  <c r="B78" i="3" a="1"/>
  <c r="B78" i="3" s="1"/>
  <c r="D78" i="3" a="1"/>
  <c r="D78" i="3" s="1"/>
  <c r="E78" i="3" a="1"/>
  <c r="E78" i="3" s="1"/>
  <c r="F78" i="3" a="1"/>
  <c r="F78" i="3" s="1"/>
  <c r="G78" i="3" a="1"/>
  <c r="G78" i="3" s="1"/>
  <c r="H78" i="3" a="1"/>
  <c r="H78" i="3" s="1"/>
  <c r="I78" i="3" a="1"/>
  <c r="I78" i="3" s="1"/>
  <c r="J78" i="3" a="1"/>
  <c r="J78" i="3" s="1"/>
  <c r="K78" i="3" a="1"/>
  <c r="K78" i="3" s="1"/>
  <c r="L78" i="3" a="1"/>
  <c r="L78" i="3" s="1"/>
  <c r="M78" i="3" a="1"/>
  <c r="M78" i="3" s="1"/>
  <c r="N78" i="3" a="1"/>
  <c r="N78" i="3" s="1"/>
  <c r="O78" i="3" a="1"/>
  <c r="O78" i="3" s="1"/>
  <c r="P78" i="3" a="1"/>
  <c r="P78" i="3" s="1"/>
  <c r="Q78" i="3" a="1"/>
  <c r="Q78" i="3" s="1"/>
  <c r="A79" i="3" a="1"/>
  <c r="A79" i="3" s="1"/>
  <c r="B79" i="3" a="1"/>
  <c r="B79" i="3" s="1"/>
  <c r="D79" i="3" a="1"/>
  <c r="D79" i="3" s="1"/>
  <c r="E79" i="3" a="1"/>
  <c r="E79" i="3" s="1"/>
  <c r="F79" i="3" a="1"/>
  <c r="F79" i="3" s="1"/>
  <c r="G79" i="3" a="1"/>
  <c r="G79" i="3" s="1"/>
  <c r="H79" i="3" a="1"/>
  <c r="H79" i="3" s="1"/>
  <c r="I79" i="3" a="1"/>
  <c r="I79" i="3" s="1"/>
  <c r="J79" i="3" a="1"/>
  <c r="J79" i="3" s="1"/>
  <c r="K79" i="3" a="1"/>
  <c r="K79" i="3" s="1"/>
  <c r="L79" i="3" a="1"/>
  <c r="L79" i="3" s="1"/>
  <c r="M79" i="3" a="1"/>
  <c r="M79" i="3" s="1"/>
  <c r="N79" i="3" a="1"/>
  <c r="N79" i="3" s="1"/>
  <c r="O79" i="3" a="1"/>
  <c r="O79" i="3" s="1"/>
  <c r="P79" i="3" a="1"/>
  <c r="P79" i="3" s="1"/>
  <c r="Q79" i="3" a="1"/>
  <c r="Q79" i="3" s="1"/>
  <c r="A80" i="3" a="1"/>
  <c r="A80" i="3" s="1"/>
  <c r="B80" i="3" a="1"/>
  <c r="B80" i="3" s="1"/>
  <c r="D80" i="3" a="1"/>
  <c r="D80" i="3" s="1"/>
  <c r="E80" i="3" a="1"/>
  <c r="E80" i="3" s="1"/>
  <c r="F80" i="3" a="1"/>
  <c r="F80" i="3" s="1"/>
  <c r="G80" i="3" a="1"/>
  <c r="G80" i="3" s="1"/>
  <c r="H80" i="3" a="1"/>
  <c r="H80" i="3" s="1"/>
  <c r="I80" i="3" a="1"/>
  <c r="I80" i="3" s="1"/>
  <c r="J80" i="3" a="1"/>
  <c r="J80" i="3" s="1"/>
  <c r="K80" i="3" a="1"/>
  <c r="K80" i="3" s="1"/>
  <c r="L80" i="3" a="1"/>
  <c r="L80" i="3" s="1"/>
  <c r="M80" i="3" a="1"/>
  <c r="M80" i="3" s="1"/>
  <c r="N80" i="3" a="1"/>
  <c r="N80" i="3" s="1"/>
  <c r="O80" i="3" a="1"/>
  <c r="O80" i="3" s="1"/>
  <c r="P80" i="3" a="1"/>
  <c r="P80" i="3" s="1"/>
  <c r="Q80" i="3" a="1"/>
  <c r="Q80" i="3" s="1"/>
  <c r="A81" i="3" a="1"/>
  <c r="A81" i="3" s="1"/>
  <c r="B81" i="3" a="1"/>
  <c r="B81" i="3" s="1"/>
  <c r="D81" i="3" a="1"/>
  <c r="D81" i="3" s="1"/>
  <c r="E81" i="3" a="1"/>
  <c r="E81" i="3" s="1"/>
  <c r="F81" i="3" a="1"/>
  <c r="F81" i="3" s="1"/>
  <c r="G81" i="3" a="1"/>
  <c r="G81" i="3" s="1"/>
  <c r="H81" i="3" a="1"/>
  <c r="H81" i="3" s="1"/>
  <c r="I81" i="3" a="1"/>
  <c r="I81" i="3" s="1"/>
  <c r="J81" i="3" a="1"/>
  <c r="J81" i="3" s="1"/>
  <c r="K81" i="3" a="1"/>
  <c r="K81" i="3" s="1"/>
  <c r="L81" i="3" a="1"/>
  <c r="L81" i="3" s="1"/>
  <c r="M81" i="3" a="1"/>
  <c r="M81" i="3" s="1"/>
  <c r="N81" i="3" a="1"/>
  <c r="N81" i="3" s="1"/>
  <c r="O81" i="3" a="1"/>
  <c r="O81" i="3" s="1"/>
  <c r="P81" i="3" a="1"/>
  <c r="P81" i="3" s="1"/>
  <c r="Q81" i="3" a="1"/>
  <c r="Q81" i="3" s="1"/>
  <c r="A82" i="3" a="1"/>
  <c r="A82" i="3" s="1"/>
  <c r="B82" i="3" a="1"/>
  <c r="B82" i="3" s="1"/>
  <c r="D82" i="3" a="1"/>
  <c r="D82" i="3" s="1"/>
  <c r="E82" i="3" a="1"/>
  <c r="E82" i="3" s="1"/>
  <c r="F82" i="3" a="1"/>
  <c r="F82" i="3" s="1"/>
  <c r="G82" i="3" a="1"/>
  <c r="G82" i="3" s="1"/>
  <c r="H82" i="3" a="1"/>
  <c r="H82" i="3" s="1"/>
  <c r="I82" i="3" a="1"/>
  <c r="I82" i="3" s="1"/>
  <c r="J82" i="3" a="1"/>
  <c r="J82" i="3" s="1"/>
  <c r="K82" i="3" a="1"/>
  <c r="K82" i="3" s="1"/>
  <c r="L82" i="3" a="1"/>
  <c r="L82" i="3" s="1"/>
  <c r="M82" i="3" a="1"/>
  <c r="M82" i="3" s="1"/>
  <c r="N82" i="3" a="1"/>
  <c r="N82" i="3" s="1"/>
  <c r="O82" i="3" a="1"/>
  <c r="O82" i="3" s="1"/>
  <c r="P82" i="3" a="1"/>
  <c r="P82" i="3" s="1"/>
  <c r="Q82" i="3" a="1"/>
  <c r="Q82" i="3" s="1"/>
  <c r="A83" i="3" a="1"/>
  <c r="A83" i="3" s="1"/>
  <c r="B83" i="3" a="1"/>
  <c r="B83" i="3" s="1"/>
  <c r="D83" i="3" a="1"/>
  <c r="D83" i="3" s="1"/>
  <c r="E83" i="3" a="1"/>
  <c r="E83" i="3" s="1"/>
  <c r="F83" i="3" a="1"/>
  <c r="F83" i="3" s="1"/>
  <c r="G83" i="3" a="1"/>
  <c r="G83" i="3" s="1"/>
  <c r="H83" i="3" a="1"/>
  <c r="H83" i="3" s="1"/>
  <c r="I83" i="3" a="1"/>
  <c r="I83" i="3" s="1"/>
  <c r="J83" i="3" a="1"/>
  <c r="J83" i="3" s="1"/>
  <c r="K83" i="3" a="1"/>
  <c r="K83" i="3" s="1"/>
  <c r="L83" i="3" a="1"/>
  <c r="L83" i="3" s="1"/>
  <c r="M83" i="3" a="1"/>
  <c r="M83" i="3" s="1"/>
  <c r="N83" i="3" a="1"/>
  <c r="N83" i="3" s="1"/>
  <c r="O83" i="3" a="1"/>
  <c r="O83" i="3" s="1"/>
  <c r="P83" i="3" a="1"/>
  <c r="P83" i="3" s="1"/>
  <c r="Q83" i="3" a="1"/>
  <c r="Q83" i="3" s="1"/>
  <c r="A84" i="3" a="1"/>
  <c r="A84" i="3" s="1"/>
  <c r="B84" i="3" a="1"/>
  <c r="B84" i="3" s="1"/>
  <c r="D84" i="3" a="1"/>
  <c r="D84" i="3" s="1"/>
  <c r="E84" i="3" a="1"/>
  <c r="E84" i="3" s="1"/>
  <c r="F84" i="3" a="1"/>
  <c r="F84" i="3" s="1"/>
  <c r="G84" i="3" a="1"/>
  <c r="G84" i="3" s="1"/>
  <c r="H84" i="3" a="1"/>
  <c r="H84" i="3" s="1"/>
  <c r="I84" i="3" a="1"/>
  <c r="I84" i="3" s="1"/>
  <c r="J84" i="3" a="1"/>
  <c r="J84" i="3" s="1"/>
  <c r="K84" i="3" a="1"/>
  <c r="K84" i="3" s="1"/>
  <c r="L84" i="3" a="1"/>
  <c r="L84" i="3" s="1"/>
  <c r="M84" i="3" a="1"/>
  <c r="M84" i="3" s="1"/>
  <c r="N84" i="3" a="1"/>
  <c r="N84" i="3" s="1"/>
  <c r="O84" i="3" a="1"/>
  <c r="O84" i="3" s="1"/>
  <c r="P84" i="3" a="1"/>
  <c r="P84" i="3" s="1"/>
  <c r="Q84" i="3" a="1"/>
  <c r="Q84" i="3" s="1"/>
  <c r="A85" i="3" a="1"/>
  <c r="A85" i="3" s="1"/>
  <c r="B85" i="3" a="1"/>
  <c r="B85" i="3" s="1"/>
  <c r="D85" i="3" a="1"/>
  <c r="D85" i="3" s="1"/>
  <c r="E85" i="3" a="1"/>
  <c r="E85" i="3" s="1"/>
  <c r="F85" i="3" a="1"/>
  <c r="F85" i="3" s="1"/>
  <c r="G85" i="3" a="1"/>
  <c r="G85" i="3" s="1"/>
  <c r="H85" i="3" a="1"/>
  <c r="H85" i="3" s="1"/>
  <c r="I85" i="3" a="1"/>
  <c r="I85" i="3" s="1"/>
  <c r="J85" i="3" a="1"/>
  <c r="J85" i="3" s="1"/>
  <c r="K85" i="3" a="1"/>
  <c r="K85" i="3" s="1"/>
  <c r="L85" i="3" a="1"/>
  <c r="L85" i="3" s="1"/>
  <c r="M85" i="3" a="1"/>
  <c r="M85" i="3" s="1"/>
  <c r="N85" i="3" a="1"/>
  <c r="N85" i="3" s="1"/>
  <c r="O85" i="3" a="1"/>
  <c r="O85" i="3" s="1"/>
  <c r="P85" i="3" a="1"/>
  <c r="P85" i="3" s="1"/>
  <c r="Q85" i="3" a="1"/>
  <c r="Q85" i="3" s="1"/>
  <c r="A86" i="3" a="1"/>
  <c r="A86" i="3" s="1"/>
  <c r="B86" i="3" a="1"/>
  <c r="B86" i="3" s="1"/>
  <c r="D86" i="3" a="1"/>
  <c r="D86" i="3" s="1"/>
  <c r="E86" i="3" a="1"/>
  <c r="E86" i="3" s="1"/>
  <c r="F86" i="3" a="1"/>
  <c r="F86" i="3" s="1"/>
  <c r="G86" i="3" a="1"/>
  <c r="G86" i="3" s="1"/>
  <c r="H86" i="3" a="1"/>
  <c r="H86" i="3" s="1"/>
  <c r="I86" i="3" a="1"/>
  <c r="I86" i="3" s="1"/>
  <c r="J86" i="3" a="1"/>
  <c r="J86" i="3" s="1"/>
  <c r="K86" i="3" a="1"/>
  <c r="K86" i="3" s="1"/>
  <c r="L86" i="3" a="1"/>
  <c r="L86" i="3" s="1"/>
  <c r="M86" i="3" a="1"/>
  <c r="M86" i="3" s="1"/>
  <c r="N86" i="3" a="1"/>
  <c r="N86" i="3" s="1"/>
  <c r="O86" i="3" a="1"/>
  <c r="O86" i="3" s="1"/>
  <c r="P86" i="3" a="1"/>
  <c r="P86" i="3" s="1"/>
  <c r="Q86" i="3" a="1"/>
  <c r="Q86" i="3" s="1"/>
  <c r="A87" i="3" a="1"/>
  <c r="A87" i="3" s="1"/>
  <c r="B87" i="3" a="1"/>
  <c r="B87" i="3" s="1"/>
  <c r="D87" i="3" a="1"/>
  <c r="D87" i="3" s="1"/>
  <c r="E87" i="3" a="1"/>
  <c r="E87" i="3" s="1"/>
  <c r="F87" i="3" a="1"/>
  <c r="F87" i="3" s="1"/>
  <c r="G87" i="3" a="1"/>
  <c r="G87" i="3" s="1"/>
  <c r="H87" i="3" a="1"/>
  <c r="H87" i="3" s="1"/>
  <c r="I87" i="3" a="1"/>
  <c r="I87" i="3" s="1"/>
  <c r="J87" i="3" a="1"/>
  <c r="J87" i="3" s="1"/>
  <c r="K87" i="3" a="1"/>
  <c r="K87" i="3" s="1"/>
  <c r="L87" i="3" a="1"/>
  <c r="L87" i="3" s="1"/>
  <c r="M87" i="3" a="1"/>
  <c r="M87" i="3" s="1"/>
  <c r="N87" i="3" a="1"/>
  <c r="N87" i="3" s="1"/>
  <c r="O87" i="3" a="1"/>
  <c r="O87" i="3" s="1"/>
  <c r="P87" i="3" a="1"/>
  <c r="P87" i="3" s="1"/>
  <c r="Q87" i="3" a="1"/>
  <c r="Q87" i="3" s="1"/>
  <c r="A88" i="3" a="1"/>
  <c r="A88" i="3" s="1"/>
  <c r="B88" i="3" a="1"/>
  <c r="B88" i="3" s="1"/>
  <c r="D88" i="3" a="1"/>
  <c r="D88" i="3" s="1"/>
  <c r="E88" i="3" a="1"/>
  <c r="E88" i="3" s="1"/>
  <c r="F88" i="3" a="1"/>
  <c r="F88" i="3" s="1"/>
  <c r="G88" i="3" a="1"/>
  <c r="G88" i="3" s="1"/>
  <c r="H88" i="3" a="1"/>
  <c r="H88" i="3" s="1"/>
  <c r="I88" i="3" a="1"/>
  <c r="I88" i="3" s="1"/>
  <c r="J88" i="3" a="1"/>
  <c r="J88" i="3" s="1"/>
  <c r="K88" i="3" a="1"/>
  <c r="K88" i="3" s="1"/>
  <c r="L88" i="3" a="1"/>
  <c r="L88" i="3" s="1"/>
  <c r="M88" i="3" a="1"/>
  <c r="M88" i="3" s="1"/>
  <c r="N88" i="3" a="1"/>
  <c r="N88" i="3" s="1"/>
  <c r="O88" i="3" a="1"/>
  <c r="O88" i="3" s="1"/>
  <c r="P88" i="3" a="1"/>
  <c r="P88" i="3" s="1"/>
  <c r="Q88" i="3" a="1"/>
  <c r="Q88" i="3" s="1"/>
  <c r="A89" i="3" a="1"/>
  <c r="A89" i="3" s="1"/>
  <c r="B89" i="3" a="1"/>
  <c r="B89" i="3" s="1"/>
  <c r="D89" i="3" a="1"/>
  <c r="D89" i="3" s="1"/>
  <c r="E89" i="3" a="1"/>
  <c r="E89" i="3" s="1"/>
  <c r="F89" i="3" a="1"/>
  <c r="F89" i="3" s="1"/>
  <c r="G89" i="3" a="1"/>
  <c r="G89" i="3" s="1"/>
  <c r="H89" i="3" a="1"/>
  <c r="H89" i="3" s="1"/>
  <c r="I89" i="3" a="1"/>
  <c r="I89" i="3" s="1"/>
  <c r="J89" i="3" a="1"/>
  <c r="J89" i="3" s="1"/>
  <c r="K89" i="3" a="1"/>
  <c r="K89" i="3" s="1"/>
  <c r="L89" i="3" a="1"/>
  <c r="L89" i="3" s="1"/>
  <c r="M89" i="3" a="1"/>
  <c r="M89" i="3" s="1"/>
  <c r="N89" i="3" a="1"/>
  <c r="N89" i="3" s="1"/>
  <c r="O89" i="3" a="1"/>
  <c r="O89" i="3" s="1"/>
  <c r="P89" i="3" a="1"/>
  <c r="P89" i="3" s="1"/>
  <c r="Q89" i="3" a="1"/>
  <c r="Q89" i="3" s="1"/>
  <c r="A90" i="3" a="1"/>
  <c r="A90" i="3" s="1"/>
  <c r="B90" i="3" a="1"/>
  <c r="B90" i="3" s="1"/>
  <c r="D90" i="3" a="1"/>
  <c r="D90" i="3" s="1"/>
  <c r="E90" i="3" a="1"/>
  <c r="E90" i="3" s="1"/>
  <c r="F90" i="3" a="1"/>
  <c r="F90" i="3" s="1"/>
  <c r="G90" i="3" a="1"/>
  <c r="G90" i="3" s="1"/>
  <c r="H90" i="3" a="1"/>
  <c r="H90" i="3" s="1"/>
  <c r="I90" i="3" a="1"/>
  <c r="I90" i="3" s="1"/>
  <c r="J90" i="3" a="1"/>
  <c r="J90" i="3" s="1"/>
  <c r="K90" i="3" a="1"/>
  <c r="K90" i="3" s="1"/>
  <c r="L90" i="3" a="1"/>
  <c r="L90" i="3" s="1"/>
  <c r="M90" i="3" a="1"/>
  <c r="M90" i="3" s="1"/>
  <c r="N90" i="3" a="1"/>
  <c r="N90" i="3" s="1"/>
  <c r="O90" i="3" a="1"/>
  <c r="O90" i="3" s="1"/>
  <c r="P90" i="3" a="1"/>
  <c r="P90" i="3" s="1"/>
  <c r="Q90" i="3" a="1"/>
  <c r="Q90" i="3" s="1"/>
  <c r="A91" i="3" a="1"/>
  <c r="A91" i="3" s="1"/>
  <c r="B91" i="3" a="1"/>
  <c r="B91" i="3" s="1"/>
  <c r="D91" i="3" a="1"/>
  <c r="D91" i="3" s="1"/>
  <c r="E91" i="3" a="1"/>
  <c r="E91" i="3" s="1"/>
  <c r="F91" i="3" a="1"/>
  <c r="F91" i="3" s="1"/>
  <c r="G91" i="3" a="1"/>
  <c r="G91" i="3" s="1"/>
  <c r="H91" i="3" a="1"/>
  <c r="H91" i="3" s="1"/>
  <c r="I91" i="3" a="1"/>
  <c r="I91" i="3" s="1"/>
  <c r="J91" i="3" a="1"/>
  <c r="J91" i="3" s="1"/>
  <c r="K91" i="3" a="1"/>
  <c r="K91" i="3" s="1"/>
  <c r="L91" i="3" a="1"/>
  <c r="L91" i="3" s="1"/>
  <c r="M91" i="3" a="1"/>
  <c r="M91" i="3" s="1"/>
  <c r="N91" i="3" a="1"/>
  <c r="N91" i="3" s="1"/>
  <c r="O91" i="3" a="1"/>
  <c r="O91" i="3" s="1"/>
  <c r="P91" i="3" a="1"/>
  <c r="P91" i="3" s="1"/>
  <c r="Q91" i="3" a="1"/>
  <c r="Q91" i="3" s="1"/>
  <c r="A92" i="3" a="1"/>
  <c r="A92" i="3" s="1"/>
  <c r="B92" i="3" a="1"/>
  <c r="B92" i="3" s="1"/>
  <c r="D92" i="3" a="1"/>
  <c r="D92" i="3" s="1"/>
  <c r="E92" i="3" a="1"/>
  <c r="E92" i="3" s="1"/>
  <c r="F92" i="3" a="1"/>
  <c r="F92" i="3" s="1"/>
  <c r="G92" i="3" a="1"/>
  <c r="G92" i="3" s="1"/>
  <c r="H92" i="3" a="1"/>
  <c r="H92" i="3" s="1"/>
  <c r="I92" i="3" a="1"/>
  <c r="I92" i="3" s="1"/>
  <c r="J92" i="3" a="1"/>
  <c r="J92" i="3" s="1"/>
  <c r="K92" i="3" a="1"/>
  <c r="K92" i="3" s="1"/>
  <c r="L92" i="3" a="1"/>
  <c r="L92" i="3" s="1"/>
  <c r="M92" i="3" a="1"/>
  <c r="M92" i="3" s="1"/>
  <c r="N92" i="3" a="1"/>
  <c r="N92" i="3" s="1"/>
  <c r="O92" i="3" a="1"/>
  <c r="O92" i="3" s="1"/>
  <c r="P92" i="3" a="1"/>
  <c r="P92" i="3" s="1"/>
  <c r="Q92" i="3" a="1"/>
  <c r="Q92" i="3" s="1"/>
  <c r="A93" i="3" a="1"/>
  <c r="A93" i="3" s="1"/>
  <c r="B93" i="3" a="1"/>
  <c r="B93" i="3" s="1"/>
  <c r="D93" i="3" a="1"/>
  <c r="D93" i="3" s="1"/>
  <c r="E93" i="3" a="1"/>
  <c r="E93" i="3" s="1"/>
  <c r="F93" i="3" a="1"/>
  <c r="F93" i="3" s="1"/>
  <c r="G93" i="3" a="1"/>
  <c r="G93" i="3" s="1"/>
  <c r="H93" i="3" a="1"/>
  <c r="H93" i="3" s="1"/>
  <c r="I93" i="3" a="1"/>
  <c r="I93" i="3" s="1"/>
  <c r="J93" i="3" a="1"/>
  <c r="J93" i="3" s="1"/>
  <c r="K93" i="3" a="1"/>
  <c r="K93" i="3" s="1"/>
  <c r="L93" i="3" a="1"/>
  <c r="L93" i="3" s="1"/>
  <c r="M93" i="3" a="1"/>
  <c r="M93" i="3" s="1"/>
  <c r="N93" i="3" a="1"/>
  <c r="N93" i="3" s="1"/>
  <c r="O93" i="3" a="1"/>
  <c r="O93" i="3" s="1"/>
  <c r="P93" i="3" a="1"/>
  <c r="P93" i="3" s="1"/>
  <c r="Q93" i="3" a="1"/>
  <c r="Q93" i="3" s="1"/>
  <c r="A94" i="3" a="1"/>
  <c r="A94" i="3" s="1"/>
  <c r="B94" i="3" a="1"/>
  <c r="B94" i="3" s="1"/>
  <c r="D94" i="3" a="1"/>
  <c r="D94" i="3" s="1"/>
  <c r="E94" i="3" a="1"/>
  <c r="E94" i="3" s="1"/>
  <c r="F94" i="3" a="1"/>
  <c r="F94" i="3" s="1"/>
  <c r="G94" i="3" a="1"/>
  <c r="G94" i="3" s="1"/>
  <c r="H94" i="3" a="1"/>
  <c r="H94" i="3" s="1"/>
  <c r="I94" i="3" a="1"/>
  <c r="I94" i="3" s="1"/>
  <c r="J94" i="3" a="1"/>
  <c r="J94" i="3" s="1"/>
  <c r="K94" i="3" a="1"/>
  <c r="K94" i="3" s="1"/>
  <c r="L94" i="3" a="1"/>
  <c r="L94" i="3" s="1"/>
  <c r="M94" i="3" a="1"/>
  <c r="M94" i="3" s="1"/>
  <c r="N94" i="3" a="1"/>
  <c r="N94" i="3" s="1"/>
  <c r="O94" i="3" a="1"/>
  <c r="O94" i="3" s="1"/>
  <c r="P94" i="3" a="1"/>
  <c r="P94" i="3" s="1"/>
  <c r="Q94" i="3" a="1"/>
  <c r="Q94" i="3" s="1"/>
  <c r="A95" i="3" a="1"/>
  <c r="A95" i="3" s="1"/>
  <c r="B95" i="3" a="1"/>
  <c r="B95" i="3" s="1"/>
  <c r="D95" i="3" a="1"/>
  <c r="D95" i="3" s="1"/>
  <c r="E95" i="3" a="1"/>
  <c r="E95" i="3" s="1"/>
  <c r="F95" i="3" a="1"/>
  <c r="F95" i="3" s="1"/>
  <c r="G95" i="3" a="1"/>
  <c r="G95" i="3" s="1"/>
  <c r="H95" i="3" a="1"/>
  <c r="H95" i="3" s="1"/>
  <c r="I95" i="3" a="1"/>
  <c r="I95" i="3" s="1"/>
  <c r="J95" i="3" a="1"/>
  <c r="J95" i="3" s="1"/>
  <c r="K95" i="3" a="1"/>
  <c r="K95" i="3" s="1"/>
  <c r="L95" i="3" a="1"/>
  <c r="L95" i="3" s="1"/>
  <c r="M95" i="3" a="1"/>
  <c r="M95" i="3" s="1"/>
  <c r="N95" i="3" a="1"/>
  <c r="N95" i="3" s="1"/>
  <c r="O95" i="3" a="1"/>
  <c r="O95" i="3" s="1"/>
  <c r="P95" i="3" a="1"/>
  <c r="P95" i="3" s="1"/>
  <c r="Q95" i="3" a="1"/>
  <c r="Q95" i="3" s="1"/>
  <c r="A96" i="3" a="1"/>
  <c r="A96" i="3" s="1"/>
  <c r="B96" i="3" a="1"/>
  <c r="B96" i="3" s="1"/>
  <c r="D96" i="3" a="1"/>
  <c r="D96" i="3" s="1"/>
  <c r="E96" i="3" a="1"/>
  <c r="E96" i="3" s="1"/>
  <c r="F96" i="3" a="1"/>
  <c r="F96" i="3" s="1"/>
  <c r="G96" i="3" a="1"/>
  <c r="G96" i="3" s="1"/>
  <c r="H96" i="3" a="1"/>
  <c r="H96" i="3" s="1"/>
  <c r="I96" i="3" a="1"/>
  <c r="I96" i="3" s="1"/>
  <c r="J96" i="3" a="1"/>
  <c r="J96" i="3" s="1"/>
  <c r="K96" i="3" a="1"/>
  <c r="K96" i="3" s="1"/>
  <c r="L96" i="3" a="1"/>
  <c r="L96" i="3" s="1"/>
  <c r="M96" i="3" a="1"/>
  <c r="M96" i="3" s="1"/>
  <c r="N96" i="3" a="1"/>
  <c r="N96" i="3" s="1"/>
  <c r="O96" i="3" a="1"/>
  <c r="O96" i="3" s="1"/>
  <c r="P96" i="3" a="1"/>
  <c r="P96" i="3" s="1"/>
  <c r="Q96" i="3" a="1"/>
  <c r="Q96" i="3" s="1"/>
  <c r="A97" i="3" a="1"/>
  <c r="A97" i="3" s="1"/>
  <c r="B97" i="3" a="1"/>
  <c r="B97" i="3" s="1"/>
  <c r="D97" i="3" a="1"/>
  <c r="D97" i="3" s="1"/>
  <c r="E97" i="3" a="1"/>
  <c r="E97" i="3" s="1"/>
  <c r="F97" i="3" a="1"/>
  <c r="F97" i="3" s="1"/>
  <c r="G97" i="3" a="1"/>
  <c r="G97" i="3" s="1"/>
  <c r="H97" i="3" a="1"/>
  <c r="H97" i="3" s="1"/>
  <c r="I97" i="3" a="1"/>
  <c r="I97" i="3" s="1"/>
  <c r="J97" i="3" a="1"/>
  <c r="J97" i="3" s="1"/>
  <c r="K97" i="3" a="1"/>
  <c r="K97" i="3" s="1"/>
  <c r="L97" i="3" a="1"/>
  <c r="L97" i="3" s="1"/>
  <c r="M97" i="3" a="1"/>
  <c r="M97" i="3" s="1"/>
  <c r="N97" i="3" a="1"/>
  <c r="N97" i="3" s="1"/>
  <c r="O97" i="3" a="1"/>
  <c r="O97" i="3" s="1"/>
  <c r="P97" i="3" a="1"/>
  <c r="P97" i="3" s="1"/>
  <c r="Q97" i="3" a="1"/>
  <c r="Q97" i="3" s="1"/>
  <c r="A98" i="3" a="1"/>
  <c r="A98" i="3" s="1"/>
  <c r="B98" i="3" a="1"/>
  <c r="B98" i="3" s="1"/>
  <c r="D98" i="3" a="1"/>
  <c r="D98" i="3" s="1"/>
  <c r="E98" i="3" a="1"/>
  <c r="E98" i="3" s="1"/>
  <c r="F98" i="3" a="1"/>
  <c r="F98" i="3" s="1"/>
  <c r="G98" i="3" a="1"/>
  <c r="G98" i="3" s="1"/>
  <c r="H98" i="3" a="1"/>
  <c r="H98" i="3" s="1"/>
  <c r="I98" i="3" a="1"/>
  <c r="I98" i="3" s="1"/>
  <c r="J98" i="3" a="1"/>
  <c r="J98" i="3" s="1"/>
  <c r="K98" i="3" a="1"/>
  <c r="K98" i="3" s="1"/>
  <c r="L98" i="3" a="1"/>
  <c r="L98" i="3" s="1"/>
  <c r="M98" i="3" a="1"/>
  <c r="M98" i="3" s="1"/>
  <c r="N98" i="3" a="1"/>
  <c r="N98" i="3" s="1"/>
  <c r="O98" i="3" a="1"/>
  <c r="O98" i="3" s="1"/>
  <c r="P98" i="3" a="1"/>
  <c r="P98" i="3" s="1"/>
  <c r="Q98" i="3" a="1"/>
  <c r="Q98" i="3" s="1"/>
  <c r="A99" i="3" a="1"/>
  <c r="A99" i="3" s="1"/>
  <c r="B99" i="3" a="1"/>
  <c r="B99" i="3" s="1"/>
  <c r="D99" i="3" a="1"/>
  <c r="D99" i="3" s="1"/>
  <c r="E99" i="3" a="1"/>
  <c r="E99" i="3" s="1"/>
  <c r="F99" i="3" a="1"/>
  <c r="F99" i="3" s="1"/>
  <c r="G99" i="3" a="1"/>
  <c r="G99" i="3" s="1"/>
  <c r="H99" i="3" a="1"/>
  <c r="H99" i="3" s="1"/>
  <c r="I99" i="3" a="1"/>
  <c r="I99" i="3" s="1"/>
  <c r="J99" i="3" a="1"/>
  <c r="J99" i="3" s="1"/>
  <c r="K99" i="3" a="1"/>
  <c r="K99" i="3" s="1"/>
  <c r="L99" i="3" a="1"/>
  <c r="L99" i="3" s="1"/>
  <c r="M99" i="3" a="1"/>
  <c r="M99" i="3" s="1"/>
  <c r="N99" i="3" a="1"/>
  <c r="N99" i="3" s="1"/>
  <c r="O99" i="3" a="1"/>
  <c r="O99" i="3" s="1"/>
  <c r="P99" i="3" a="1"/>
  <c r="P99" i="3" s="1"/>
  <c r="Q99" i="3" a="1"/>
  <c r="Q99" i="3" s="1"/>
  <c r="A100" i="3" a="1"/>
  <c r="A100" i="3" s="1"/>
  <c r="B100" i="3" a="1"/>
  <c r="B100" i="3" s="1"/>
  <c r="D100" i="3" a="1"/>
  <c r="D100" i="3" s="1"/>
  <c r="E100" i="3" a="1"/>
  <c r="E100" i="3" s="1"/>
  <c r="F100" i="3" a="1"/>
  <c r="F100" i="3" s="1"/>
  <c r="G100" i="3" a="1"/>
  <c r="G100" i="3" s="1"/>
  <c r="H100" i="3" a="1"/>
  <c r="H100" i="3" s="1"/>
  <c r="I100" i="3" a="1"/>
  <c r="I100" i="3" s="1"/>
  <c r="J100" i="3" a="1"/>
  <c r="J100" i="3" s="1"/>
  <c r="K100" i="3" a="1"/>
  <c r="K100" i="3" s="1"/>
  <c r="L100" i="3" a="1"/>
  <c r="L100" i="3" s="1"/>
  <c r="M100" i="3" a="1"/>
  <c r="M100" i="3" s="1"/>
  <c r="N100" i="3" a="1"/>
  <c r="N100" i="3" s="1"/>
  <c r="O100" i="3" a="1"/>
  <c r="O100" i="3" s="1"/>
  <c r="P100" i="3" a="1"/>
  <c r="P100" i="3" s="1"/>
  <c r="Q100" i="3" a="1"/>
  <c r="Q100" i="3" s="1"/>
  <c r="A101" i="3" a="1"/>
  <c r="A101" i="3" s="1"/>
  <c r="B101" i="3" a="1"/>
  <c r="B101" i="3" s="1"/>
  <c r="D101" i="3" a="1"/>
  <c r="D101" i="3" s="1"/>
  <c r="E101" i="3" a="1"/>
  <c r="E101" i="3" s="1"/>
  <c r="F101" i="3" a="1"/>
  <c r="F101" i="3" s="1"/>
  <c r="G101" i="3" a="1"/>
  <c r="G101" i="3" s="1"/>
  <c r="H101" i="3" a="1"/>
  <c r="H101" i="3" s="1"/>
  <c r="I101" i="3" a="1"/>
  <c r="I101" i="3" s="1"/>
  <c r="J101" i="3" a="1"/>
  <c r="J101" i="3" s="1"/>
  <c r="K101" i="3" a="1"/>
  <c r="K101" i="3" s="1"/>
  <c r="L101" i="3" a="1"/>
  <c r="L101" i="3" s="1"/>
  <c r="M101" i="3" a="1"/>
  <c r="M101" i="3" s="1"/>
  <c r="N101" i="3" a="1"/>
  <c r="N101" i="3" s="1"/>
  <c r="O101" i="3" a="1"/>
  <c r="O101" i="3" s="1"/>
  <c r="P101" i="3" a="1"/>
  <c r="P101" i="3" s="1"/>
  <c r="Q101" i="3" a="1"/>
  <c r="Q101" i="3" s="1"/>
  <c r="A102" i="3" a="1"/>
  <c r="A102" i="3" s="1"/>
  <c r="B102" i="3" a="1"/>
  <c r="B102" i="3" s="1"/>
  <c r="D102" i="3" a="1"/>
  <c r="D102" i="3" s="1"/>
  <c r="E102" i="3" a="1"/>
  <c r="E102" i="3" s="1"/>
  <c r="F102" i="3" a="1"/>
  <c r="F102" i="3" s="1"/>
  <c r="G102" i="3" a="1"/>
  <c r="G102" i="3" s="1"/>
  <c r="H102" i="3" a="1"/>
  <c r="H102" i="3" s="1"/>
  <c r="I102" i="3" a="1"/>
  <c r="I102" i="3" s="1"/>
  <c r="J102" i="3" a="1"/>
  <c r="J102" i="3" s="1"/>
  <c r="K102" i="3" a="1"/>
  <c r="K102" i="3" s="1"/>
  <c r="L102" i="3" a="1"/>
  <c r="L102" i="3" s="1"/>
  <c r="M102" i="3" a="1"/>
  <c r="M102" i="3" s="1"/>
  <c r="N102" i="3" a="1"/>
  <c r="N102" i="3" s="1"/>
  <c r="O102" i="3" a="1"/>
  <c r="O102" i="3" s="1"/>
  <c r="P102" i="3" a="1"/>
  <c r="P102" i="3" s="1"/>
  <c r="Q102" i="3" a="1"/>
  <c r="Q102" i="3" s="1"/>
  <c r="A103" i="3" a="1"/>
  <c r="A103" i="3" s="1"/>
  <c r="B103" i="3" a="1"/>
  <c r="B103" i="3" s="1"/>
  <c r="D103" i="3" a="1"/>
  <c r="D103" i="3" s="1"/>
  <c r="E103" i="3" a="1"/>
  <c r="E103" i="3" s="1"/>
  <c r="F103" i="3" a="1"/>
  <c r="F103" i="3" s="1"/>
  <c r="G103" i="3" a="1"/>
  <c r="G103" i="3" s="1"/>
  <c r="H103" i="3" a="1"/>
  <c r="H103" i="3" s="1"/>
  <c r="I103" i="3" a="1"/>
  <c r="I103" i="3" s="1"/>
  <c r="J103" i="3" a="1"/>
  <c r="J103" i="3" s="1"/>
  <c r="K103" i="3" a="1"/>
  <c r="K103" i="3" s="1"/>
  <c r="L103" i="3" a="1"/>
  <c r="L103" i="3" s="1"/>
  <c r="M103" i="3" a="1"/>
  <c r="M103" i="3" s="1"/>
  <c r="N103" i="3" a="1"/>
  <c r="N103" i="3" s="1"/>
  <c r="O103" i="3" a="1"/>
  <c r="O103" i="3" s="1"/>
  <c r="P103" i="3" a="1"/>
  <c r="P103" i="3" s="1"/>
  <c r="Q103" i="3" a="1"/>
  <c r="Q103" i="3" s="1"/>
  <c r="A104" i="3" a="1"/>
  <c r="A104" i="3" s="1"/>
  <c r="B104" i="3" a="1"/>
  <c r="B104" i="3" s="1"/>
  <c r="D104" i="3" a="1"/>
  <c r="D104" i="3" s="1"/>
  <c r="E104" i="3" a="1"/>
  <c r="E104" i="3" s="1"/>
  <c r="F104" i="3" a="1"/>
  <c r="F104" i="3" s="1"/>
  <c r="G104" i="3" a="1"/>
  <c r="G104" i="3" s="1"/>
  <c r="H104" i="3" a="1"/>
  <c r="H104" i="3" s="1"/>
  <c r="I104" i="3" a="1"/>
  <c r="I104" i="3" s="1"/>
  <c r="J104" i="3" a="1"/>
  <c r="J104" i="3" s="1"/>
  <c r="K104" i="3" a="1"/>
  <c r="K104" i="3" s="1"/>
  <c r="L104" i="3" a="1"/>
  <c r="L104" i="3" s="1"/>
  <c r="M104" i="3" a="1"/>
  <c r="M104" i="3" s="1"/>
  <c r="N104" i="3" a="1"/>
  <c r="N104" i="3" s="1"/>
  <c r="O104" i="3" a="1"/>
  <c r="O104" i="3" s="1"/>
  <c r="P104" i="3" a="1"/>
  <c r="P104" i="3" s="1"/>
  <c r="Q104" i="3" a="1"/>
  <c r="Q104" i="3" s="1"/>
  <c r="A105" i="3" a="1"/>
  <c r="A105" i="3" s="1"/>
  <c r="B105" i="3" a="1"/>
  <c r="B105" i="3" s="1"/>
  <c r="D105" i="3" a="1"/>
  <c r="D105" i="3" s="1"/>
  <c r="E105" i="3" a="1"/>
  <c r="E105" i="3" s="1"/>
  <c r="F105" i="3" a="1"/>
  <c r="F105" i="3" s="1"/>
  <c r="G105" i="3" a="1"/>
  <c r="G105" i="3" s="1"/>
  <c r="H105" i="3" a="1"/>
  <c r="H105" i="3" s="1"/>
  <c r="I105" i="3" a="1"/>
  <c r="I105" i="3" s="1"/>
  <c r="J105" i="3" a="1"/>
  <c r="J105" i="3" s="1"/>
  <c r="K105" i="3" a="1"/>
  <c r="K105" i="3" s="1"/>
  <c r="L105" i="3" a="1"/>
  <c r="L105" i="3" s="1"/>
  <c r="M105" i="3" a="1"/>
  <c r="M105" i="3" s="1"/>
  <c r="N105" i="3" a="1"/>
  <c r="N105" i="3" s="1"/>
  <c r="O105" i="3" a="1"/>
  <c r="O105" i="3" s="1"/>
  <c r="P105" i="3" a="1"/>
  <c r="P105" i="3" s="1"/>
  <c r="Q105" i="3" a="1"/>
  <c r="Q105" i="3" s="1"/>
  <c r="A106" i="3" a="1"/>
  <c r="A106" i="3" s="1"/>
  <c r="B106" i="3" a="1"/>
  <c r="B106" i="3" s="1"/>
  <c r="D106" i="3" a="1"/>
  <c r="D106" i="3" s="1"/>
  <c r="E106" i="3" a="1"/>
  <c r="E106" i="3" s="1"/>
  <c r="F106" i="3" a="1"/>
  <c r="F106" i="3" s="1"/>
  <c r="G106" i="3" a="1"/>
  <c r="G106" i="3" s="1"/>
  <c r="H106" i="3" a="1"/>
  <c r="H106" i="3" s="1"/>
  <c r="I106" i="3" a="1"/>
  <c r="I106" i="3" s="1"/>
  <c r="J106" i="3" a="1"/>
  <c r="J106" i="3" s="1"/>
  <c r="K106" i="3" a="1"/>
  <c r="K106" i="3" s="1"/>
  <c r="L106" i="3" a="1"/>
  <c r="L106" i="3" s="1"/>
  <c r="M106" i="3" a="1"/>
  <c r="M106" i="3" s="1"/>
  <c r="N106" i="3" a="1"/>
  <c r="N106" i="3" s="1"/>
  <c r="O106" i="3" a="1"/>
  <c r="O106" i="3" s="1"/>
  <c r="P106" i="3" a="1"/>
  <c r="P106" i="3" s="1"/>
  <c r="Q106" i="3" a="1"/>
  <c r="Q106" i="3" s="1"/>
  <c r="A107" i="3" a="1"/>
  <c r="A107" i="3" s="1"/>
  <c r="B107" i="3" a="1"/>
  <c r="B107" i="3" s="1"/>
  <c r="D107" i="3" a="1"/>
  <c r="D107" i="3" s="1"/>
  <c r="E107" i="3" a="1"/>
  <c r="E107" i="3" s="1"/>
  <c r="F107" i="3" a="1"/>
  <c r="F107" i="3" s="1"/>
  <c r="G107" i="3" a="1"/>
  <c r="G107" i="3" s="1"/>
  <c r="H107" i="3" a="1"/>
  <c r="H107" i="3" s="1"/>
  <c r="I107" i="3" a="1"/>
  <c r="I107" i="3" s="1"/>
  <c r="J107" i="3" a="1"/>
  <c r="J107" i="3" s="1"/>
  <c r="K107" i="3" a="1"/>
  <c r="K107" i="3" s="1"/>
  <c r="L107" i="3" a="1"/>
  <c r="L107" i="3" s="1"/>
  <c r="M107" i="3" a="1"/>
  <c r="M107" i="3" s="1"/>
  <c r="N107" i="3" a="1"/>
  <c r="N107" i="3" s="1"/>
  <c r="O107" i="3" a="1"/>
  <c r="O107" i="3" s="1"/>
  <c r="P107" i="3" a="1"/>
  <c r="P107" i="3" s="1"/>
  <c r="Q107" i="3" a="1"/>
  <c r="Q107" i="3" s="1"/>
  <c r="A108" i="3" a="1"/>
  <c r="A108" i="3" s="1"/>
  <c r="B108" i="3" a="1"/>
  <c r="B108" i="3" s="1"/>
  <c r="D108" i="3" a="1"/>
  <c r="D108" i="3" s="1"/>
  <c r="E108" i="3" a="1"/>
  <c r="E108" i="3" s="1"/>
  <c r="F108" i="3" a="1"/>
  <c r="F108" i="3" s="1"/>
  <c r="G108" i="3" a="1"/>
  <c r="G108" i="3" s="1"/>
  <c r="H108" i="3" a="1"/>
  <c r="H108" i="3" s="1"/>
  <c r="I108" i="3" a="1"/>
  <c r="I108" i="3" s="1"/>
  <c r="J108" i="3" a="1"/>
  <c r="J108" i="3" s="1"/>
  <c r="K108" i="3" a="1"/>
  <c r="K108" i="3" s="1"/>
  <c r="L108" i="3" a="1"/>
  <c r="L108" i="3" s="1"/>
  <c r="M108" i="3" a="1"/>
  <c r="M108" i="3" s="1"/>
  <c r="N108" i="3" a="1"/>
  <c r="N108" i="3" s="1"/>
  <c r="O108" i="3" a="1"/>
  <c r="O108" i="3" s="1"/>
  <c r="P108" i="3" a="1"/>
  <c r="P108" i="3" s="1"/>
  <c r="Q108" i="3" a="1"/>
  <c r="Q108" i="3" s="1"/>
  <c r="A109" i="3" a="1"/>
  <c r="A109" i="3" s="1"/>
  <c r="B109" i="3" a="1"/>
  <c r="B109" i="3" s="1"/>
  <c r="D109" i="3" a="1"/>
  <c r="D109" i="3" s="1"/>
  <c r="E109" i="3" a="1"/>
  <c r="E109" i="3" s="1"/>
  <c r="F109" i="3" a="1"/>
  <c r="F109" i="3" s="1"/>
  <c r="G109" i="3" a="1"/>
  <c r="G109" i="3" s="1"/>
  <c r="H109" i="3" a="1"/>
  <c r="H109" i="3" s="1"/>
  <c r="I109" i="3" a="1"/>
  <c r="I109" i="3" s="1"/>
  <c r="J109" i="3" a="1"/>
  <c r="J109" i="3" s="1"/>
  <c r="K109" i="3" a="1"/>
  <c r="K109" i="3" s="1"/>
  <c r="L109" i="3" a="1"/>
  <c r="L109" i="3" s="1"/>
  <c r="M109" i="3" a="1"/>
  <c r="M109" i="3" s="1"/>
  <c r="N109" i="3" a="1"/>
  <c r="N109" i="3" s="1"/>
  <c r="O109" i="3" a="1"/>
  <c r="O109" i="3" s="1"/>
  <c r="P109" i="3" a="1"/>
  <c r="P109" i="3" s="1"/>
  <c r="Q109" i="3" a="1"/>
  <c r="Q109" i="3" s="1"/>
  <c r="A110" i="3" a="1"/>
  <c r="A110" i="3" s="1"/>
  <c r="B110" i="3" a="1"/>
  <c r="B110" i="3" s="1"/>
  <c r="D110" i="3" a="1"/>
  <c r="D110" i="3" s="1"/>
  <c r="E110" i="3" a="1"/>
  <c r="E110" i="3" s="1"/>
  <c r="F110" i="3" a="1"/>
  <c r="F110" i="3" s="1"/>
  <c r="G110" i="3" a="1"/>
  <c r="G110" i="3" s="1"/>
  <c r="H110" i="3" a="1"/>
  <c r="H110" i="3" s="1"/>
  <c r="I110" i="3" a="1"/>
  <c r="I110" i="3" s="1"/>
  <c r="J110" i="3" a="1"/>
  <c r="J110" i="3" s="1"/>
  <c r="K110" i="3" a="1"/>
  <c r="K110" i="3" s="1"/>
  <c r="L110" i="3" a="1"/>
  <c r="L110" i="3" s="1"/>
  <c r="M110" i="3" a="1"/>
  <c r="M110" i="3" s="1"/>
  <c r="N110" i="3" a="1"/>
  <c r="N110" i="3" s="1"/>
  <c r="O110" i="3" a="1"/>
  <c r="O110" i="3" s="1"/>
  <c r="P110" i="3" a="1"/>
  <c r="P110" i="3" s="1"/>
  <c r="Q110" i="3" a="1"/>
  <c r="Q110" i="3" s="1"/>
  <c r="A111" i="3" a="1"/>
  <c r="A111" i="3" s="1"/>
  <c r="B111" i="3" a="1"/>
  <c r="B111" i="3" s="1"/>
  <c r="D111" i="3" a="1"/>
  <c r="D111" i="3" s="1"/>
  <c r="E111" i="3" a="1"/>
  <c r="E111" i="3" s="1"/>
  <c r="F111" i="3" a="1"/>
  <c r="F111" i="3" s="1"/>
  <c r="G111" i="3" a="1"/>
  <c r="G111" i="3" s="1"/>
  <c r="H111" i="3" a="1"/>
  <c r="H111" i="3" s="1"/>
  <c r="I111" i="3" a="1"/>
  <c r="I111" i="3" s="1"/>
  <c r="J111" i="3" a="1"/>
  <c r="J111" i="3" s="1"/>
  <c r="K111" i="3" a="1"/>
  <c r="K111" i="3" s="1"/>
  <c r="L111" i="3" a="1"/>
  <c r="L111" i="3" s="1"/>
  <c r="M111" i="3" a="1"/>
  <c r="M111" i="3" s="1"/>
  <c r="N111" i="3" a="1"/>
  <c r="N111" i="3" s="1"/>
  <c r="O111" i="3" a="1"/>
  <c r="O111" i="3" s="1"/>
  <c r="P111" i="3" a="1"/>
  <c r="P111" i="3" s="1"/>
  <c r="Q111" i="3" a="1"/>
  <c r="Q111" i="3" s="1"/>
  <c r="A112" i="3" a="1"/>
  <c r="A112" i="3" s="1"/>
  <c r="B112" i="3" a="1"/>
  <c r="B112" i="3" s="1"/>
  <c r="D112" i="3" a="1"/>
  <c r="D112" i="3" s="1"/>
  <c r="E112" i="3" a="1"/>
  <c r="E112" i="3" s="1"/>
  <c r="F112" i="3" a="1"/>
  <c r="F112" i="3" s="1"/>
  <c r="G112" i="3" a="1"/>
  <c r="G112" i="3" s="1"/>
  <c r="H112" i="3" a="1"/>
  <c r="H112" i="3" s="1"/>
  <c r="I112" i="3" a="1"/>
  <c r="I112" i="3" s="1"/>
  <c r="J112" i="3" a="1"/>
  <c r="J112" i="3" s="1"/>
  <c r="K112" i="3" a="1"/>
  <c r="K112" i="3" s="1"/>
  <c r="L112" i="3" a="1"/>
  <c r="L112" i="3" s="1"/>
  <c r="M112" i="3" a="1"/>
  <c r="M112" i="3" s="1"/>
  <c r="N112" i="3" a="1"/>
  <c r="N112" i="3" s="1"/>
  <c r="O112" i="3" a="1"/>
  <c r="O112" i="3" s="1"/>
  <c r="P112" i="3" a="1"/>
  <c r="P112" i="3" s="1"/>
  <c r="Q112" i="3" a="1"/>
  <c r="Q112" i="3" s="1"/>
  <c r="A113" i="3" a="1"/>
  <c r="A113" i="3" s="1"/>
  <c r="B113" i="3" a="1"/>
  <c r="B113" i="3" s="1"/>
  <c r="D113" i="3" a="1"/>
  <c r="D113" i="3" s="1"/>
  <c r="E113" i="3" a="1"/>
  <c r="E113" i="3" s="1"/>
  <c r="F113" i="3" a="1"/>
  <c r="F113" i="3" s="1"/>
  <c r="G113" i="3" a="1"/>
  <c r="G113" i="3" s="1"/>
  <c r="H113" i="3" a="1"/>
  <c r="H113" i="3" s="1"/>
  <c r="I113" i="3" a="1"/>
  <c r="I113" i="3" s="1"/>
  <c r="J113" i="3" a="1"/>
  <c r="J113" i="3" s="1"/>
  <c r="K113" i="3" a="1"/>
  <c r="K113" i="3" s="1"/>
  <c r="L113" i="3" a="1"/>
  <c r="L113" i="3" s="1"/>
  <c r="M113" i="3" a="1"/>
  <c r="M113" i="3" s="1"/>
  <c r="N113" i="3" a="1"/>
  <c r="N113" i="3" s="1"/>
  <c r="O113" i="3" a="1"/>
  <c r="O113" i="3" s="1"/>
  <c r="P113" i="3" a="1"/>
  <c r="P113" i="3" s="1"/>
  <c r="Q113" i="3" a="1"/>
  <c r="Q113" i="3" s="1"/>
  <c r="A114" i="3" a="1"/>
  <c r="A114" i="3" s="1"/>
  <c r="B114" i="3" a="1"/>
  <c r="B114" i="3" s="1"/>
  <c r="D114" i="3" a="1"/>
  <c r="D114" i="3" s="1"/>
  <c r="E114" i="3" a="1"/>
  <c r="E114" i="3" s="1"/>
  <c r="F114" i="3" a="1"/>
  <c r="F114" i="3" s="1"/>
  <c r="G114" i="3" a="1"/>
  <c r="G114" i="3" s="1"/>
  <c r="H114" i="3" a="1"/>
  <c r="H114" i="3" s="1"/>
  <c r="I114" i="3" a="1"/>
  <c r="I114" i="3" s="1"/>
  <c r="J114" i="3" a="1"/>
  <c r="J114" i="3" s="1"/>
  <c r="K114" i="3" a="1"/>
  <c r="K114" i="3" s="1"/>
  <c r="L114" i="3" a="1"/>
  <c r="L114" i="3" s="1"/>
  <c r="M114" i="3" a="1"/>
  <c r="M114" i="3" s="1"/>
  <c r="N114" i="3" a="1"/>
  <c r="N114" i="3" s="1"/>
  <c r="O114" i="3" a="1"/>
  <c r="O114" i="3" s="1"/>
  <c r="P114" i="3" a="1"/>
  <c r="P114" i="3" s="1"/>
  <c r="Q114" i="3" a="1"/>
  <c r="Q114" i="3" s="1"/>
  <c r="A115" i="3" a="1"/>
  <c r="A115" i="3" s="1"/>
  <c r="B115" i="3" a="1"/>
  <c r="B115" i="3" s="1"/>
  <c r="D115" i="3" a="1"/>
  <c r="D115" i="3" s="1"/>
  <c r="E115" i="3" a="1"/>
  <c r="E115" i="3" s="1"/>
  <c r="F115" i="3" a="1"/>
  <c r="F115" i="3" s="1"/>
  <c r="G115" i="3" a="1"/>
  <c r="G115" i="3" s="1"/>
  <c r="H115" i="3" a="1"/>
  <c r="H115" i="3" s="1"/>
  <c r="I115" i="3" a="1"/>
  <c r="I115" i="3" s="1"/>
  <c r="J115" i="3" a="1"/>
  <c r="J115" i="3" s="1"/>
  <c r="K115" i="3" a="1"/>
  <c r="K115" i="3" s="1"/>
  <c r="L115" i="3" a="1"/>
  <c r="L115" i="3" s="1"/>
  <c r="M115" i="3" a="1"/>
  <c r="M115" i="3" s="1"/>
  <c r="N115" i="3" a="1"/>
  <c r="N115" i="3" s="1"/>
  <c r="O115" i="3" a="1"/>
  <c r="O115" i="3" s="1"/>
  <c r="P115" i="3" a="1"/>
  <c r="P115" i="3" s="1"/>
  <c r="Q115" i="3" a="1"/>
  <c r="Q115" i="3" s="1"/>
  <c r="A116" i="3" a="1"/>
  <c r="A116" i="3" s="1"/>
  <c r="B116" i="3" a="1"/>
  <c r="B116" i="3" s="1"/>
  <c r="D116" i="3" a="1"/>
  <c r="D116" i="3" s="1"/>
  <c r="E116" i="3" a="1"/>
  <c r="E116" i="3" s="1"/>
  <c r="F116" i="3" a="1"/>
  <c r="F116" i="3" s="1"/>
  <c r="G116" i="3" a="1"/>
  <c r="G116" i="3" s="1"/>
  <c r="H116" i="3" a="1"/>
  <c r="H116" i="3" s="1"/>
  <c r="I116" i="3" a="1"/>
  <c r="I116" i="3" s="1"/>
  <c r="J116" i="3" a="1"/>
  <c r="J116" i="3" s="1"/>
  <c r="K116" i="3" a="1"/>
  <c r="K116" i="3" s="1"/>
  <c r="L116" i="3" a="1"/>
  <c r="L116" i="3" s="1"/>
  <c r="M116" i="3" a="1"/>
  <c r="M116" i="3" s="1"/>
  <c r="N116" i="3" a="1"/>
  <c r="N116" i="3" s="1"/>
  <c r="O116" i="3" a="1"/>
  <c r="O116" i="3" s="1"/>
  <c r="P116" i="3" a="1"/>
  <c r="P116" i="3" s="1"/>
  <c r="Q116" i="3" a="1"/>
  <c r="Q116" i="3" s="1"/>
  <c r="A117" i="3" a="1"/>
  <c r="A117" i="3" s="1"/>
  <c r="B117" i="3" a="1"/>
  <c r="B117" i="3" s="1"/>
  <c r="D117" i="3" a="1"/>
  <c r="D117" i="3" s="1"/>
  <c r="E117" i="3" a="1"/>
  <c r="E117" i="3" s="1"/>
  <c r="F117" i="3" a="1"/>
  <c r="F117" i="3" s="1"/>
  <c r="G117" i="3" a="1"/>
  <c r="G117" i="3" s="1"/>
  <c r="H117" i="3" a="1"/>
  <c r="H117" i="3" s="1"/>
  <c r="I117" i="3" a="1"/>
  <c r="I117" i="3" s="1"/>
  <c r="J117" i="3" a="1"/>
  <c r="J117" i="3" s="1"/>
  <c r="K117" i="3" a="1"/>
  <c r="K117" i="3" s="1"/>
  <c r="L117" i="3" a="1"/>
  <c r="L117" i="3" s="1"/>
  <c r="M117" i="3" a="1"/>
  <c r="M117" i="3" s="1"/>
  <c r="N117" i="3" a="1"/>
  <c r="N117" i="3" s="1"/>
  <c r="O117" i="3" a="1"/>
  <c r="O117" i="3" s="1"/>
  <c r="P117" i="3" a="1"/>
  <c r="P117" i="3" s="1"/>
  <c r="Q117" i="3" a="1"/>
  <c r="Q117" i="3" s="1"/>
  <c r="A118" i="3" a="1"/>
  <c r="A118" i="3" s="1"/>
  <c r="B118" i="3" a="1"/>
  <c r="B118" i="3" s="1"/>
  <c r="D118" i="3" a="1"/>
  <c r="D118" i="3" s="1"/>
  <c r="E118" i="3" a="1"/>
  <c r="E118" i="3" s="1"/>
  <c r="F118" i="3" a="1"/>
  <c r="F118" i="3" s="1"/>
  <c r="G118" i="3" a="1"/>
  <c r="G118" i="3" s="1"/>
  <c r="H118" i="3" a="1"/>
  <c r="H118" i="3" s="1"/>
  <c r="I118" i="3" a="1"/>
  <c r="I118" i="3" s="1"/>
  <c r="J118" i="3" a="1"/>
  <c r="J118" i="3" s="1"/>
  <c r="K118" i="3" a="1"/>
  <c r="K118" i="3" s="1"/>
  <c r="L118" i="3" a="1"/>
  <c r="L118" i="3" s="1"/>
  <c r="M118" i="3" a="1"/>
  <c r="M118" i="3" s="1"/>
  <c r="N118" i="3" a="1"/>
  <c r="N118" i="3" s="1"/>
  <c r="O118" i="3" a="1"/>
  <c r="O118" i="3" s="1"/>
  <c r="P118" i="3" a="1"/>
  <c r="P118" i="3" s="1"/>
  <c r="Q118" i="3" a="1"/>
  <c r="Q118" i="3" s="1"/>
  <c r="A119" i="3" a="1"/>
  <c r="A119" i="3" s="1"/>
  <c r="B119" i="3" a="1"/>
  <c r="B119" i="3" s="1"/>
  <c r="D119" i="3" a="1"/>
  <c r="D119" i="3" s="1"/>
  <c r="E119" i="3" a="1"/>
  <c r="E119" i="3" s="1"/>
  <c r="F119" i="3" a="1"/>
  <c r="F119" i="3" s="1"/>
  <c r="G119" i="3" a="1"/>
  <c r="G119" i="3" s="1"/>
  <c r="H119" i="3" a="1"/>
  <c r="H119" i="3" s="1"/>
  <c r="I119" i="3" a="1"/>
  <c r="I119" i="3" s="1"/>
  <c r="J119" i="3" a="1"/>
  <c r="J119" i="3" s="1"/>
  <c r="K119" i="3" a="1"/>
  <c r="K119" i="3" s="1"/>
  <c r="L119" i="3" a="1"/>
  <c r="L119" i="3" s="1"/>
  <c r="M119" i="3" a="1"/>
  <c r="M119" i="3" s="1"/>
  <c r="N119" i="3" a="1"/>
  <c r="N119" i="3" s="1"/>
  <c r="O119" i="3" a="1"/>
  <c r="O119" i="3" s="1"/>
  <c r="P119" i="3" a="1"/>
  <c r="P119" i="3" s="1"/>
  <c r="Q119" i="3" a="1"/>
  <c r="Q119" i="3" s="1"/>
  <c r="A120" i="3" a="1"/>
  <c r="A120" i="3" s="1"/>
  <c r="B120" i="3" a="1"/>
  <c r="B120" i="3" s="1"/>
  <c r="D120" i="3" a="1"/>
  <c r="D120" i="3" s="1"/>
  <c r="E120" i="3" a="1"/>
  <c r="E120" i="3" s="1"/>
  <c r="F120" i="3" a="1"/>
  <c r="F120" i="3" s="1"/>
  <c r="G120" i="3" a="1"/>
  <c r="G120" i="3" s="1"/>
  <c r="H120" i="3" a="1"/>
  <c r="H120" i="3" s="1"/>
  <c r="I120" i="3" a="1"/>
  <c r="I120" i="3" s="1"/>
  <c r="J120" i="3" a="1"/>
  <c r="J120" i="3" s="1"/>
  <c r="K120" i="3" a="1"/>
  <c r="K120" i="3" s="1"/>
  <c r="L120" i="3" a="1"/>
  <c r="L120" i="3" s="1"/>
  <c r="M120" i="3" a="1"/>
  <c r="M120" i="3" s="1"/>
  <c r="N120" i="3" a="1"/>
  <c r="N120" i="3" s="1"/>
  <c r="O120" i="3" a="1"/>
  <c r="O120" i="3" s="1"/>
  <c r="P120" i="3" a="1"/>
  <c r="P120" i="3" s="1"/>
  <c r="Q120" i="3" a="1"/>
  <c r="Q120" i="3" s="1"/>
  <c r="A121" i="3" a="1"/>
  <c r="A121" i="3" s="1"/>
  <c r="B121" i="3" a="1"/>
  <c r="B121" i="3" s="1"/>
  <c r="D121" i="3" a="1"/>
  <c r="D121" i="3" s="1"/>
  <c r="E121" i="3" a="1"/>
  <c r="E121" i="3" s="1"/>
  <c r="F121" i="3" a="1"/>
  <c r="F121" i="3" s="1"/>
  <c r="G121" i="3" a="1"/>
  <c r="G121" i="3" s="1"/>
  <c r="H121" i="3" a="1"/>
  <c r="H121" i="3" s="1"/>
  <c r="I121" i="3" a="1"/>
  <c r="I121" i="3" s="1"/>
  <c r="J121" i="3" a="1"/>
  <c r="J121" i="3" s="1"/>
  <c r="K121" i="3" a="1"/>
  <c r="K121" i="3" s="1"/>
  <c r="L121" i="3" a="1"/>
  <c r="L121" i="3" s="1"/>
  <c r="M121" i="3" a="1"/>
  <c r="M121" i="3" s="1"/>
  <c r="N121" i="3" a="1"/>
  <c r="N121" i="3" s="1"/>
  <c r="O121" i="3" a="1"/>
  <c r="O121" i="3" s="1"/>
  <c r="P121" i="3" a="1"/>
  <c r="P121" i="3" s="1"/>
  <c r="Q121" i="3" a="1"/>
  <c r="Q121" i="3" s="1"/>
  <c r="A122" i="3" a="1"/>
  <c r="A122" i="3" s="1"/>
  <c r="B122" i="3" a="1"/>
  <c r="B122" i="3" s="1"/>
  <c r="D122" i="3" a="1"/>
  <c r="D122" i="3" s="1"/>
  <c r="E122" i="3" a="1"/>
  <c r="E122" i="3" s="1"/>
  <c r="F122" i="3" a="1"/>
  <c r="F122" i="3" s="1"/>
  <c r="G122" i="3" a="1"/>
  <c r="G122" i="3" s="1"/>
  <c r="H122" i="3" a="1"/>
  <c r="H122" i="3" s="1"/>
  <c r="I122" i="3" a="1"/>
  <c r="I122" i="3" s="1"/>
  <c r="J122" i="3" a="1"/>
  <c r="J122" i="3" s="1"/>
  <c r="K122" i="3" a="1"/>
  <c r="K122" i="3" s="1"/>
  <c r="L122" i="3" a="1"/>
  <c r="L122" i="3" s="1"/>
  <c r="M122" i="3" a="1"/>
  <c r="M122" i="3" s="1"/>
  <c r="N122" i="3" a="1"/>
  <c r="N122" i="3" s="1"/>
  <c r="O122" i="3" a="1"/>
  <c r="O122" i="3" s="1"/>
  <c r="P122" i="3" a="1"/>
  <c r="P122" i="3" s="1"/>
  <c r="Q122" i="3" a="1"/>
  <c r="Q122" i="3" s="1"/>
  <c r="A123" i="3" a="1"/>
  <c r="A123" i="3" s="1"/>
  <c r="B123" i="3" a="1"/>
  <c r="B123" i="3" s="1"/>
  <c r="D123" i="3" a="1"/>
  <c r="D123" i="3" s="1"/>
  <c r="E123" i="3" a="1"/>
  <c r="E123" i="3" s="1"/>
  <c r="F123" i="3" a="1"/>
  <c r="F123" i="3" s="1"/>
  <c r="G123" i="3" a="1"/>
  <c r="G123" i="3" s="1"/>
  <c r="H123" i="3" a="1"/>
  <c r="H123" i="3" s="1"/>
  <c r="I123" i="3" a="1"/>
  <c r="I123" i="3" s="1"/>
  <c r="J123" i="3" a="1"/>
  <c r="J123" i="3" s="1"/>
  <c r="K123" i="3" a="1"/>
  <c r="K123" i="3" s="1"/>
  <c r="L123" i="3" a="1"/>
  <c r="L123" i="3" s="1"/>
  <c r="M123" i="3" a="1"/>
  <c r="M123" i="3" s="1"/>
  <c r="N123" i="3" a="1"/>
  <c r="N123" i="3" s="1"/>
  <c r="O123" i="3" a="1"/>
  <c r="O123" i="3" s="1"/>
  <c r="P123" i="3" a="1"/>
  <c r="P123" i="3" s="1"/>
  <c r="Q123" i="3" a="1"/>
  <c r="Q123" i="3" s="1"/>
  <c r="A124" i="3" a="1"/>
  <c r="A124" i="3" s="1"/>
  <c r="B124" i="3" a="1"/>
  <c r="B124" i="3" s="1"/>
  <c r="D124" i="3" a="1"/>
  <c r="D124" i="3" s="1"/>
  <c r="E124" i="3" a="1"/>
  <c r="E124" i="3" s="1"/>
  <c r="F124" i="3" a="1"/>
  <c r="F124" i="3" s="1"/>
  <c r="G124" i="3" a="1"/>
  <c r="G124" i="3" s="1"/>
  <c r="H124" i="3" a="1"/>
  <c r="H124" i="3" s="1"/>
  <c r="I124" i="3" a="1"/>
  <c r="I124" i="3" s="1"/>
  <c r="J124" i="3" a="1"/>
  <c r="J124" i="3" s="1"/>
  <c r="K124" i="3" a="1"/>
  <c r="K124" i="3" s="1"/>
  <c r="L124" i="3" a="1"/>
  <c r="L124" i="3" s="1"/>
  <c r="M124" i="3" a="1"/>
  <c r="M124" i="3" s="1"/>
  <c r="N124" i="3" a="1"/>
  <c r="N124" i="3" s="1"/>
  <c r="O124" i="3" a="1"/>
  <c r="O124" i="3" s="1"/>
  <c r="P124" i="3" a="1"/>
  <c r="P124" i="3" s="1"/>
  <c r="Q124" i="3" a="1"/>
  <c r="Q124" i="3" s="1"/>
  <c r="A125" i="3" a="1"/>
  <c r="A125" i="3" s="1"/>
  <c r="B125" i="3" a="1"/>
  <c r="B125" i="3" s="1"/>
  <c r="D125" i="3" a="1"/>
  <c r="D125" i="3" s="1"/>
  <c r="E125" i="3" a="1"/>
  <c r="E125" i="3" s="1"/>
  <c r="F125" i="3" a="1"/>
  <c r="F125" i="3" s="1"/>
  <c r="G125" i="3" a="1"/>
  <c r="G125" i="3" s="1"/>
  <c r="H125" i="3" a="1"/>
  <c r="H125" i="3" s="1"/>
  <c r="I125" i="3" a="1"/>
  <c r="I125" i="3" s="1"/>
  <c r="J125" i="3" a="1"/>
  <c r="J125" i="3" s="1"/>
  <c r="K125" i="3" a="1"/>
  <c r="K125" i="3" s="1"/>
  <c r="L125" i="3" a="1"/>
  <c r="L125" i="3" s="1"/>
  <c r="M125" i="3" a="1"/>
  <c r="M125" i="3" s="1"/>
  <c r="N125" i="3" a="1"/>
  <c r="N125" i="3" s="1"/>
  <c r="O125" i="3" a="1"/>
  <c r="O125" i="3" s="1"/>
  <c r="P125" i="3" a="1"/>
  <c r="P125" i="3" s="1"/>
  <c r="Q125" i="3" a="1"/>
  <c r="Q125" i="3" s="1"/>
  <c r="A126" i="3" a="1"/>
  <c r="A126" i="3" s="1"/>
  <c r="B126" i="3" a="1"/>
  <c r="B126" i="3" s="1"/>
  <c r="D126" i="3" a="1"/>
  <c r="D126" i="3" s="1"/>
  <c r="E126" i="3" a="1"/>
  <c r="E126" i="3" s="1"/>
  <c r="F126" i="3" a="1"/>
  <c r="F126" i="3" s="1"/>
  <c r="G126" i="3" a="1"/>
  <c r="G126" i="3" s="1"/>
  <c r="H126" i="3" a="1"/>
  <c r="H126" i="3" s="1"/>
  <c r="I126" i="3" a="1"/>
  <c r="I126" i="3" s="1"/>
  <c r="J126" i="3" a="1"/>
  <c r="J126" i="3" s="1"/>
  <c r="K126" i="3" a="1"/>
  <c r="K126" i="3" s="1"/>
  <c r="L126" i="3" a="1"/>
  <c r="L126" i="3" s="1"/>
  <c r="M126" i="3" a="1"/>
  <c r="M126" i="3" s="1"/>
  <c r="N126" i="3" a="1"/>
  <c r="N126" i="3" s="1"/>
  <c r="O126" i="3" a="1"/>
  <c r="O126" i="3" s="1"/>
  <c r="P126" i="3" a="1"/>
  <c r="P126" i="3" s="1"/>
  <c r="Q126" i="3" a="1"/>
  <c r="Q126" i="3" s="1"/>
  <c r="A127" i="3" a="1"/>
  <c r="A127" i="3" s="1"/>
  <c r="B127" i="3" a="1"/>
  <c r="B127" i="3" s="1"/>
  <c r="D127" i="3" a="1"/>
  <c r="D127" i="3" s="1"/>
  <c r="E127" i="3" a="1"/>
  <c r="E127" i="3" s="1"/>
  <c r="F127" i="3" a="1"/>
  <c r="F127" i="3" s="1"/>
  <c r="G127" i="3" a="1"/>
  <c r="G127" i="3" s="1"/>
  <c r="H127" i="3" a="1"/>
  <c r="H127" i="3" s="1"/>
  <c r="I127" i="3" a="1"/>
  <c r="I127" i="3" s="1"/>
  <c r="J127" i="3" a="1"/>
  <c r="J127" i="3" s="1"/>
  <c r="K127" i="3" a="1"/>
  <c r="K127" i="3" s="1"/>
  <c r="L127" i="3" a="1"/>
  <c r="L127" i="3" s="1"/>
  <c r="M127" i="3" a="1"/>
  <c r="M127" i="3" s="1"/>
  <c r="N127" i="3" a="1"/>
  <c r="N127" i="3" s="1"/>
  <c r="O127" i="3" a="1"/>
  <c r="O127" i="3" s="1"/>
  <c r="P127" i="3" a="1"/>
  <c r="P127" i="3" s="1"/>
  <c r="Q127" i="3" a="1"/>
  <c r="Q127" i="3" s="1"/>
  <c r="A128" i="3" a="1"/>
  <c r="A128" i="3" s="1"/>
  <c r="B128" i="3" a="1"/>
  <c r="B128" i="3" s="1"/>
  <c r="D128" i="3" a="1"/>
  <c r="D128" i="3" s="1"/>
  <c r="E128" i="3" a="1"/>
  <c r="E128" i="3" s="1"/>
  <c r="F128" i="3" a="1"/>
  <c r="F128" i="3" s="1"/>
  <c r="G128" i="3" a="1"/>
  <c r="G128" i="3" s="1"/>
  <c r="H128" i="3" a="1"/>
  <c r="H128" i="3" s="1"/>
  <c r="I128" i="3" a="1"/>
  <c r="I128" i="3" s="1"/>
  <c r="J128" i="3" a="1"/>
  <c r="J128" i="3" s="1"/>
  <c r="K128" i="3" a="1"/>
  <c r="K128" i="3" s="1"/>
  <c r="L128" i="3" a="1"/>
  <c r="L128" i="3" s="1"/>
  <c r="M128" i="3" a="1"/>
  <c r="M128" i="3" s="1"/>
  <c r="N128" i="3" a="1"/>
  <c r="N128" i="3" s="1"/>
  <c r="O128" i="3" a="1"/>
  <c r="O128" i="3" s="1"/>
  <c r="P128" i="3" a="1"/>
  <c r="P128" i="3" s="1"/>
  <c r="Q128" i="3" a="1"/>
  <c r="Q128" i="3" s="1"/>
  <c r="A129" i="3" a="1"/>
  <c r="A129" i="3" s="1"/>
  <c r="B129" i="3" a="1"/>
  <c r="B129" i="3" s="1"/>
  <c r="D129" i="3" a="1"/>
  <c r="D129" i="3" s="1"/>
  <c r="E129" i="3" a="1"/>
  <c r="E129" i="3" s="1"/>
  <c r="F129" i="3" a="1"/>
  <c r="F129" i="3" s="1"/>
  <c r="G129" i="3" a="1"/>
  <c r="G129" i="3" s="1"/>
  <c r="H129" i="3" a="1"/>
  <c r="H129" i="3" s="1"/>
  <c r="I129" i="3" a="1"/>
  <c r="I129" i="3" s="1"/>
  <c r="J129" i="3" a="1"/>
  <c r="J129" i="3" s="1"/>
  <c r="K129" i="3" a="1"/>
  <c r="K129" i="3" s="1"/>
  <c r="L129" i="3" a="1"/>
  <c r="L129" i="3" s="1"/>
  <c r="M129" i="3" a="1"/>
  <c r="M129" i="3" s="1"/>
  <c r="N129" i="3" a="1"/>
  <c r="N129" i="3" s="1"/>
  <c r="O129" i="3" a="1"/>
  <c r="O129" i="3" s="1"/>
  <c r="P129" i="3" a="1"/>
  <c r="P129" i="3" s="1"/>
  <c r="Q129" i="3" a="1"/>
  <c r="Q129" i="3" s="1"/>
  <c r="A130" i="3" a="1"/>
  <c r="A130" i="3" s="1"/>
  <c r="B130" i="3" a="1"/>
  <c r="B130" i="3" s="1"/>
  <c r="D130" i="3" a="1"/>
  <c r="D130" i="3" s="1"/>
  <c r="E130" i="3" a="1"/>
  <c r="E130" i="3" s="1"/>
  <c r="F130" i="3" a="1"/>
  <c r="F130" i="3" s="1"/>
  <c r="G130" i="3" a="1"/>
  <c r="G130" i="3" s="1"/>
  <c r="H130" i="3" a="1"/>
  <c r="H130" i="3" s="1"/>
  <c r="I130" i="3" a="1"/>
  <c r="I130" i="3" s="1"/>
  <c r="J130" i="3" a="1"/>
  <c r="J130" i="3" s="1"/>
  <c r="K130" i="3" a="1"/>
  <c r="K130" i="3" s="1"/>
  <c r="L130" i="3" a="1"/>
  <c r="L130" i="3" s="1"/>
  <c r="M130" i="3" a="1"/>
  <c r="M130" i="3" s="1"/>
  <c r="N130" i="3" a="1"/>
  <c r="N130" i="3" s="1"/>
  <c r="O130" i="3" a="1"/>
  <c r="O130" i="3" s="1"/>
  <c r="P130" i="3" a="1"/>
  <c r="P130" i="3" s="1"/>
  <c r="Q130" i="3" a="1"/>
  <c r="Q130" i="3" s="1"/>
  <c r="H4" i="2"/>
  <c r="M4" i="2" s="1"/>
  <c r="R4" i="2" s="1"/>
  <c r="W4" i="2" s="1"/>
  <c r="AB4" i="2" s="1"/>
  <c r="AG4" i="2" s="1"/>
  <c r="AL4" i="2" s="1"/>
  <c r="AQ4" i="2" s="1"/>
  <c r="H5" i="2"/>
  <c r="M5" i="2" s="1"/>
  <c r="R5" i="2" s="1"/>
  <c r="W5" i="2" s="1"/>
  <c r="AB5" i="2" s="1"/>
  <c r="AG5" i="2" s="1"/>
  <c r="AL5" i="2" s="1"/>
  <c r="AQ5" i="2" s="1"/>
  <c r="G5" i="2"/>
  <c r="L5" i="2" s="1"/>
  <c r="Q5" i="2" s="1"/>
  <c r="V5" i="2" s="1"/>
  <c r="AA5" i="2" s="1"/>
  <c r="AF5" i="2" s="1"/>
  <c r="AK5" i="2" s="1"/>
  <c r="AP5" i="2" s="1"/>
  <c r="F5" i="2"/>
  <c r="K5" i="2" s="1"/>
  <c r="P5" i="2" s="1"/>
  <c r="U5" i="2" s="1"/>
  <c r="Z5" i="2" s="1"/>
  <c r="AE5" i="2" s="1"/>
  <c r="AJ5" i="2" s="1"/>
  <c r="AO5" i="2" s="1"/>
  <c r="E5" i="2"/>
  <c r="J5" i="2" s="1"/>
  <c r="O5" i="2" s="1"/>
  <c r="T5" i="2" s="1"/>
  <c r="Y5" i="2" s="1"/>
  <c r="AD5" i="2" s="1"/>
  <c r="AI5" i="2" s="1"/>
  <c r="AN5" i="2" s="1"/>
  <c r="D5" i="2"/>
  <c r="I5" i="2" s="1"/>
  <c r="N5" i="2" s="1"/>
  <c r="S5" i="2" s="1"/>
  <c r="X5" i="2" s="1"/>
  <c r="AC5" i="2" s="1"/>
  <c r="AH5" i="2" s="1"/>
  <c r="AM5" i="2" s="1"/>
  <c r="G4" i="2"/>
  <c r="L4" i="2" s="1"/>
  <c r="Q4" i="2" s="1"/>
  <c r="V4" i="2" s="1"/>
  <c r="AA4" i="2" s="1"/>
  <c r="AF4" i="2" s="1"/>
  <c r="AK4" i="2" s="1"/>
  <c r="AP4" i="2" s="1"/>
  <c r="F4" i="2"/>
  <c r="K4" i="2" s="1"/>
  <c r="P4" i="2" s="1"/>
  <c r="U4" i="2" s="1"/>
  <c r="Z4" i="2" s="1"/>
  <c r="AE4" i="2" s="1"/>
  <c r="AJ4" i="2" s="1"/>
  <c r="AO4" i="2" s="1"/>
  <c r="E4" i="2"/>
  <c r="J4" i="2" s="1"/>
  <c r="O4" i="2" s="1"/>
  <c r="T4" i="2" s="1"/>
  <c r="Y4" i="2" s="1"/>
  <c r="AD4" i="2" s="1"/>
  <c r="AI4" i="2" s="1"/>
  <c r="AN4" i="2" s="1"/>
  <c r="D4" i="2"/>
  <c r="I4" i="2" s="1"/>
  <c r="V4" i="1" l="1"/>
  <c r="V19" i="1"/>
  <c r="V12" i="1"/>
  <c r="V6" i="1"/>
  <c r="X22" i="1"/>
  <c r="X16" i="1"/>
  <c r="X9" i="1"/>
  <c r="Z23" i="1"/>
  <c r="Z17" i="1"/>
  <c r="Z10" i="1"/>
  <c r="Z12" i="1"/>
  <c r="V24" i="1"/>
  <c r="V18" i="1"/>
  <c r="V11" i="1"/>
  <c r="V5" i="1"/>
  <c r="X21" i="1"/>
  <c r="X15" i="1"/>
  <c r="X8" i="1"/>
  <c r="Z22" i="1"/>
  <c r="Z16" i="1"/>
  <c r="Z9" i="1"/>
  <c r="V23" i="1"/>
  <c r="V17" i="1"/>
  <c r="V10" i="1"/>
  <c r="X20" i="1"/>
  <c r="X13" i="1"/>
  <c r="X7" i="1"/>
  <c r="V22" i="1"/>
  <c r="V16" i="1"/>
  <c r="V9" i="1"/>
  <c r="Z4" i="1"/>
  <c r="X19" i="1"/>
  <c r="X12" i="1"/>
  <c r="X6" i="1"/>
  <c r="Z20" i="1"/>
  <c r="Z13" i="1"/>
  <c r="Z7" i="1"/>
  <c r="Z19" i="1"/>
  <c r="Z6" i="1"/>
  <c r="V20" i="1"/>
  <c r="V13" i="1"/>
  <c r="V7" i="1"/>
  <c r="X23" i="1"/>
  <c r="X17" i="1"/>
  <c r="X10" i="1"/>
  <c r="Z24" i="1"/>
  <c r="Z18" i="1"/>
  <c r="Z11" i="1"/>
  <c r="Z5" i="1"/>
  <c r="S15" i="1"/>
  <c r="T4" i="1"/>
  <c r="S23" i="1"/>
  <c r="S17" i="1"/>
  <c r="S19" i="1"/>
  <c r="R24" i="1"/>
  <c r="R18" i="1"/>
  <c r="S20" i="1"/>
  <c r="S18" i="1"/>
  <c r="R22" i="1"/>
  <c r="R16" i="1"/>
  <c r="R23" i="1"/>
  <c r="R17" i="1"/>
  <c r="R15" i="1"/>
  <c r="S24" i="1"/>
  <c r="S21" i="1"/>
  <c r="R19" i="1"/>
  <c r="R21" i="1"/>
  <c r="S16" i="1"/>
  <c r="S22" i="1"/>
  <c r="R20" i="1"/>
  <c r="N13" i="1"/>
  <c r="R13" i="1" s="1"/>
  <c r="N10" i="1"/>
  <c r="N7" i="1"/>
  <c r="O19" i="1"/>
  <c r="O23" i="1"/>
  <c r="O17" i="1"/>
  <c r="O24" i="1"/>
  <c r="O18" i="1"/>
  <c r="O15" i="1"/>
  <c r="N12" i="1"/>
  <c r="N6" i="1"/>
  <c r="R6" i="1" s="1"/>
  <c r="O22" i="1"/>
  <c r="O16" i="1"/>
  <c r="O21" i="1"/>
  <c r="N9" i="1"/>
  <c r="R9" i="1" s="1"/>
  <c r="O20" i="1"/>
  <c r="N11" i="1"/>
  <c r="N8" i="1"/>
  <c r="N5" i="1"/>
  <c r="N4" i="1"/>
  <c r="N4" i="2"/>
  <c r="S4" i="2" s="1"/>
  <c r="X4" i="2" s="1"/>
  <c r="AC4" i="2" s="1"/>
  <c r="AH4" i="2" s="1"/>
  <c r="AM4" i="2" s="1"/>
  <c r="O12" i="1" l="1"/>
  <c r="S12" i="1"/>
  <c r="O9" i="1"/>
  <c r="S9" i="1"/>
  <c r="O7" i="1"/>
  <c r="S7" i="1"/>
  <c r="R12" i="1"/>
  <c r="O11" i="1"/>
  <c r="S11" i="1"/>
  <c r="O10" i="1"/>
  <c r="S10" i="1"/>
  <c r="O5" i="1"/>
  <c r="S5" i="1"/>
  <c r="O13" i="1"/>
  <c r="S13" i="1"/>
  <c r="R7" i="1"/>
  <c r="R10" i="1"/>
  <c r="O6" i="1"/>
  <c r="S6" i="1"/>
  <c r="O8" i="1"/>
  <c r="S8" i="1"/>
  <c r="R8" i="1"/>
  <c r="R5" i="1"/>
  <c r="R11" i="1"/>
  <c r="R4" i="1"/>
  <c r="S4" i="1"/>
  <c r="O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<sst xmlns="http://schemas.openxmlformats.org/spreadsheetml/2006/main" count="429" uniqueCount="201">
  <si>
    <t>OPTIONS</t>
  </si>
  <si>
    <t>BBAS3</t>
  </si>
  <si>
    <t>BBASi457</t>
  </si>
  <si>
    <t>CALL</t>
  </si>
  <si>
    <t>BPAC11</t>
  </si>
  <si>
    <t>BPAN4</t>
  </si>
  <si>
    <t>BPANi800</t>
  </si>
  <si>
    <t>GOLL4</t>
  </si>
  <si>
    <t>GOLLi135</t>
  </si>
  <si>
    <t>IRBR3</t>
  </si>
  <si>
    <t>IRBRi210</t>
  </si>
  <si>
    <t>LWSA3</t>
  </si>
  <si>
    <t>LWSAi115</t>
  </si>
  <si>
    <t>PETR4</t>
  </si>
  <si>
    <t>PETRi375</t>
  </si>
  <si>
    <t>PETZ3</t>
  </si>
  <si>
    <t>PETZi132</t>
  </si>
  <si>
    <t>PRIO3</t>
  </si>
  <si>
    <t>PRIOi285</t>
  </si>
  <si>
    <t>TOTS3</t>
  </si>
  <si>
    <t>TOTSi320</t>
  </si>
  <si>
    <t>Chamada</t>
  </si>
  <si>
    <t>ATIVO</t>
  </si>
  <si>
    <t>Opção</t>
  </si>
  <si>
    <t>Tipo</t>
  </si>
  <si>
    <t>STRIKE</t>
  </si>
  <si>
    <t>Entrada</t>
  </si>
  <si>
    <t>BBASu382</t>
  </si>
  <si>
    <t>PUT</t>
  </si>
  <si>
    <t>BPACu240</t>
  </si>
  <si>
    <t>BPANu660</t>
  </si>
  <si>
    <t>GOLLu920</t>
  </si>
  <si>
    <t>IRBRu210</t>
  </si>
  <si>
    <t>LWSAu900</t>
  </si>
  <si>
    <t>PETR3</t>
  </si>
  <si>
    <t>PETRu38</t>
  </si>
  <si>
    <t>PRIOu205</t>
  </si>
  <si>
    <t>TOTSu275</t>
  </si>
  <si>
    <t>Ult ATIVO</t>
  </si>
  <si>
    <t>ULT OPÇ</t>
  </si>
  <si>
    <t>To BreakEven</t>
  </si>
  <si>
    <t>Ativo</t>
  </si>
  <si>
    <t>ULT</t>
  </si>
  <si>
    <t>Nome</t>
  </si>
  <si>
    <t>Fechamento</t>
  </si>
  <si>
    <t>Oscilação</t>
  </si>
  <si>
    <t>Abertura</t>
  </si>
  <si>
    <t>aapl34</t>
  </si>
  <si>
    <t>bbasu382</t>
  </si>
  <si>
    <t>abert</t>
  </si>
  <si>
    <t>preexe</t>
  </si>
  <si>
    <t>Estado</t>
  </si>
  <si>
    <t>Preço Teórico</t>
  </si>
  <si>
    <t>Papel</t>
  </si>
  <si>
    <t>Última</t>
  </si>
  <si>
    <t>Var. %</t>
  </si>
  <si>
    <t>Hora</t>
  </si>
  <si>
    <t>Semanal (Var. %)</t>
  </si>
  <si>
    <t>Mensal (Var. %)</t>
  </si>
  <si>
    <t>12 Meses (Var. %)</t>
  </si>
  <si>
    <t>Volume</t>
  </si>
  <si>
    <t>Núm. de Negócios</t>
  </si>
  <si>
    <t>IBOV %</t>
  </si>
  <si>
    <t>Descrição</t>
  </si>
  <si>
    <t>Anual (Var. %)</t>
  </si>
  <si>
    <t>Exercício</t>
  </si>
  <si>
    <t>Vencimento</t>
  </si>
  <si>
    <t>AAPL34</t>
  </si>
  <si>
    <t>ABEV3</t>
  </si>
  <si>
    <t>ALPA4</t>
  </si>
  <si>
    <t>ALSO3</t>
  </si>
  <si>
    <t>AMAR3</t>
  </si>
  <si>
    <t>AMER3</t>
  </si>
  <si>
    <t>AMZO34</t>
  </si>
  <si>
    <t>ANIM3</t>
  </si>
  <si>
    <t>ASAI3</t>
  </si>
  <si>
    <t>AZUL4</t>
  </si>
  <si>
    <t>B3SA3</t>
  </si>
  <si>
    <t>BBASU382</t>
  </si>
  <si>
    <t>BBDC3</t>
  </si>
  <si>
    <t>BBDC4</t>
  </si>
  <si>
    <t>BBSE3</t>
  </si>
  <si>
    <t>BEEF3</t>
  </si>
  <si>
    <t>BMGB4</t>
  </si>
  <si>
    <t>BRAP4</t>
  </si>
  <si>
    <t>BRFS3</t>
  </si>
  <si>
    <t>BRKM5</t>
  </si>
  <si>
    <t>BRML3</t>
  </si>
  <si>
    <t>BRSR6</t>
  </si>
  <si>
    <t>CASH3</t>
  </si>
  <si>
    <t>CCRO3</t>
  </si>
  <si>
    <t>CIEL3</t>
  </si>
  <si>
    <t>CMIG4</t>
  </si>
  <si>
    <t>CMIN3</t>
  </si>
  <si>
    <t>COGN3</t>
  </si>
  <si>
    <t>CPLE6</t>
  </si>
  <si>
    <t>CRFB3</t>
  </si>
  <si>
    <t>CSAN3</t>
  </si>
  <si>
    <t>CSMG3</t>
  </si>
  <si>
    <t>CSNA3</t>
  </si>
  <si>
    <t>CVCB3</t>
  </si>
  <si>
    <t>CYRE3</t>
  </si>
  <si>
    <t>DOLFUT</t>
  </si>
  <si>
    <t>DXCO3</t>
  </si>
  <si>
    <t>ECOR3</t>
  </si>
  <si>
    <t>EGIE3</t>
  </si>
  <si>
    <t>ELET3</t>
  </si>
  <si>
    <t>ELET6</t>
  </si>
  <si>
    <t>EMBR3</t>
  </si>
  <si>
    <t>ENBR3</t>
  </si>
  <si>
    <t>ENEV3</t>
  </si>
  <si>
    <t>ENGI11</t>
  </si>
  <si>
    <t>EQTL3</t>
  </si>
  <si>
    <t>ESPA3</t>
  </si>
  <si>
    <t>ETER3</t>
  </si>
  <si>
    <t>EZTC3</t>
  </si>
  <si>
    <t>FHER3</t>
  </si>
  <si>
    <t>FLRY3</t>
  </si>
  <si>
    <t>GGBR4</t>
  </si>
  <si>
    <t>GMAT3</t>
  </si>
  <si>
    <t>GMCO34</t>
  </si>
  <si>
    <t>GOAU4</t>
  </si>
  <si>
    <t>GOGL34</t>
  </si>
  <si>
    <t>HAPV3</t>
  </si>
  <si>
    <t>HBSA3</t>
  </si>
  <si>
    <t>HYPE3</t>
  </si>
  <si>
    <t>IBOV</t>
  </si>
  <si>
    <t>IGTI11</t>
  </si>
  <si>
    <t>IGTI11T</t>
  </si>
  <si>
    <t>ITSA4</t>
  </si>
  <si>
    <t>ITUB4</t>
  </si>
  <si>
    <t>JBSS3</t>
  </si>
  <si>
    <t>KLBN11</t>
  </si>
  <si>
    <t>LAVV3</t>
  </si>
  <si>
    <t>LIGT3</t>
  </si>
  <si>
    <t>LREN3</t>
  </si>
  <si>
    <t>MDIA3</t>
  </si>
  <si>
    <t>MGLU3</t>
  </si>
  <si>
    <t>MOVI3</t>
  </si>
  <si>
    <t>MRFG3</t>
  </si>
  <si>
    <t>MRVE3</t>
  </si>
  <si>
    <t>MSFT34</t>
  </si>
  <si>
    <t>MULT3</t>
  </si>
  <si>
    <t>MYPK3</t>
  </si>
  <si>
    <t>NEOE3</t>
  </si>
  <si>
    <t>NGRD3</t>
  </si>
  <si>
    <t>NTCO3</t>
  </si>
  <si>
    <t>OIBR3</t>
  </si>
  <si>
    <t>OIBR4</t>
  </si>
  <si>
    <t>PCAR3</t>
  </si>
  <si>
    <t>POSI3</t>
  </si>
  <si>
    <t>PSSA3</t>
  </si>
  <si>
    <t>QUAL3</t>
  </si>
  <si>
    <t>RADL3</t>
  </si>
  <si>
    <t>RAIL3</t>
  </si>
  <si>
    <t>RANI3</t>
  </si>
  <si>
    <t>RAPT4</t>
  </si>
  <si>
    <t>RDOR3</t>
  </si>
  <si>
    <t>RENT3</t>
  </si>
  <si>
    <t>RRRP3</t>
  </si>
  <si>
    <t>SANB11</t>
  </si>
  <si>
    <t>SAPR11</t>
  </si>
  <si>
    <t>SBSP3</t>
  </si>
  <si>
    <t>SEER3</t>
  </si>
  <si>
    <t>SLCE3</t>
  </si>
  <si>
    <t>SOMA3</t>
  </si>
  <si>
    <t>STBP3</t>
  </si>
  <si>
    <t>SULA11</t>
  </si>
  <si>
    <t>SUZB3</t>
  </si>
  <si>
    <t>TAEE11</t>
  </si>
  <si>
    <t>TCSA3</t>
  </si>
  <si>
    <t>TIMS3</t>
  </si>
  <si>
    <t>TRAD3</t>
  </si>
  <si>
    <t>TRPL4</t>
  </si>
  <si>
    <t>TWTR34</t>
  </si>
  <si>
    <t>UGPA3</t>
  </si>
  <si>
    <t>USIM5</t>
  </si>
  <si>
    <t>VALE3</t>
  </si>
  <si>
    <t>VBBR3</t>
  </si>
  <si>
    <t>VIIA3</t>
  </si>
  <si>
    <t>VIVR3</t>
  </si>
  <si>
    <t>VIVT3</t>
  </si>
  <si>
    <t>WDOFUT</t>
  </si>
  <si>
    <t>WEGE3</t>
  </si>
  <si>
    <t>YDUQ3</t>
  </si>
  <si>
    <t>PETZu910</t>
  </si>
  <si>
    <t>BrakE</t>
  </si>
  <si>
    <t>BPACi295</t>
  </si>
  <si>
    <t>Max PAY</t>
  </si>
  <si>
    <t>Dist</t>
  </si>
  <si>
    <t>preço</t>
  </si>
  <si>
    <t>DTE</t>
  </si>
  <si>
    <t>Fibo1</t>
  </si>
  <si>
    <t>Fibo2</t>
  </si>
  <si>
    <t>Banda</t>
  </si>
  <si>
    <t>Objetivo</t>
  </si>
  <si>
    <t>Stop</t>
  </si>
  <si>
    <t>Iniciada</t>
  </si>
  <si>
    <t>x</t>
  </si>
  <si>
    <t>16/09/2022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</si>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</sst>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/>
    <xf numFmtId="0" fontId="0" fillId="4" borderId="0" xfId="0" applyFill="1"/>
    <xf numFmtId="43" fontId="0" fillId="0" borderId="0" xfId="1" applyFont="1"/>
    <xf numFmtId="9" fontId="0" fillId="0" borderId="0" xfId="2" applyFont="1"/>
    <xf numFmtId="10" fontId="0" fillId="0" borderId="0" xfId="2" applyNumberFormat="1" applyFont="1"/>
    <xf numFmtId="43" fontId="0" fillId="0" borderId="0" xfId="1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43" fontId="0" fillId="0" borderId="0" xfId="0" applyNumberFormat="1"/>
    <xf numFmtId="14" fontId="0" fillId="0" borderId="0" xfId="0" applyNumberFormat="1"/>
    <xf numFmtId="0" fontId="0" fillId="4" borderId="0" xfId="0" applyFill="1" applyAlignment="1">
      <alignment horizontal="center"/>
    </xf>
    <xf numFmtId="164" fontId="0" fillId="4" borderId="0" xfId="0" applyNumberFormat="1" applyFill="1"/>
    <xf numFmtId="0" fontId="0" fillId="5" borderId="1" xfId="0" applyFill="1" applyBorder="1" applyAlignment="1">
      <alignment horizontal="center"/>
    </xf>
    <xf numFmtId="0" fontId="0" fillId="5" borderId="0" xfId="0" applyFill="1"/>
    <xf numFmtId="16" fontId="0" fillId="5" borderId="1" xfId="0" applyNumberFormat="1" applyFill="1" applyBorder="1" applyAlignment="1">
      <alignment horizontal="center"/>
    </xf>
    <xf numFmtId="43" fontId="0" fillId="5" borderId="0" xfId="1" applyFont="1" applyFill="1" applyAlignment="1">
      <alignment horizontal="center"/>
    </xf>
    <xf numFmtId="43" fontId="0" fillId="5" borderId="1" xfId="1" applyFont="1" applyFill="1" applyBorder="1" applyAlignment="1">
      <alignment horizontal="center"/>
    </xf>
    <xf numFmtId="10" fontId="0" fillId="5" borderId="0" xfId="2" applyNumberFormat="1" applyFont="1" applyFill="1" applyAlignment="1">
      <alignment horizontal="center"/>
    </xf>
    <xf numFmtId="43" fontId="0" fillId="5" borderId="0" xfId="0" applyNumberFormat="1" applyFill="1"/>
    <xf numFmtId="10" fontId="0" fillId="5" borderId="0" xfId="2" applyNumberFormat="1" applyFont="1" applyFill="1"/>
    <xf numFmtId="9" fontId="0" fillId="5" borderId="0" xfId="2" applyFont="1" applyFill="1"/>
    <xf numFmtId="0" fontId="0" fillId="6" borderId="1" xfId="0" applyFill="1" applyBorder="1" applyAlignment="1">
      <alignment horizontal="center"/>
    </xf>
    <xf numFmtId="43" fontId="0" fillId="6" borderId="1" xfId="1" applyFont="1" applyFill="1" applyBorder="1" applyAlignment="1">
      <alignment horizontal="center"/>
    </xf>
    <xf numFmtId="0" fontId="0" fillId="6" borderId="0" xfId="0" applyFill="1"/>
    <xf numFmtId="43" fontId="0" fillId="6" borderId="0" xfId="1" applyFont="1" applyFill="1" applyAlignment="1">
      <alignment horizontal="center"/>
    </xf>
    <xf numFmtId="0" fontId="0" fillId="6" borderId="0" xfId="0" applyFill="1" applyAlignment="1">
      <alignment horizontal="center"/>
    </xf>
    <xf numFmtId="43" fontId="0" fillId="5" borderId="0" xfId="1" applyFont="1" applyFill="1"/>
    <xf numFmtId="0" fontId="0" fillId="7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43" fontId="4" fillId="6" borderId="1" xfId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" fontId="0" fillId="0" borderId="7" xfId="0" applyNumberFormat="1" applyBorder="1" applyAlignment="1">
      <alignment horizontal="center"/>
    </xf>
    <xf numFmtId="16" fontId="0" fillId="5" borderId="7" xfId="0" applyNumberFormat="1" applyFill="1" applyBorder="1" applyAlignment="1">
      <alignment horizontal="center"/>
    </xf>
    <xf numFmtId="16" fontId="0" fillId="5" borderId="8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6" borderId="9" xfId="0" applyFill="1" applyBorder="1" applyAlignment="1" applyProtection="1">
      <alignment horizontal="center"/>
      <protection hidden="1"/>
    </xf>
    <xf numFmtId="0" fontId="0" fillId="6" borderId="10" xfId="0" applyFill="1" applyBorder="1" applyAlignment="1" applyProtection="1">
      <alignment horizontal="center"/>
      <protection hidden="1"/>
    </xf>
    <xf numFmtId="0" fontId="4" fillId="6" borderId="10" xfId="0" applyFont="1" applyFill="1" applyBorder="1" applyAlignment="1" applyProtection="1">
      <alignment horizontal="center"/>
      <protection hidden="1"/>
    </xf>
    <xf numFmtId="0" fontId="0" fillId="6" borderId="10" xfId="0" applyFill="1" applyBorder="1" applyProtection="1">
      <protection hidden="1"/>
    </xf>
    <xf numFmtId="0" fontId="0" fillId="6" borderId="10" xfId="0" applyFill="1" applyBorder="1" applyAlignment="1" applyProtection="1">
      <alignment horizontal="center"/>
      <protection hidden="1"/>
    </xf>
    <xf numFmtId="0" fontId="0" fillId="6" borderId="11" xfId="0" applyFill="1" applyBorder="1" applyAlignment="1" applyProtection="1">
      <alignment horizontal="center"/>
      <protection hidden="1"/>
    </xf>
    <xf numFmtId="0" fontId="0" fillId="6" borderId="0" xfId="0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43" fontId="0" fillId="0" borderId="0" xfId="1" applyFont="1" applyBorder="1" applyAlignment="1" applyProtection="1">
      <alignment horizontal="center"/>
      <protection hidden="1"/>
    </xf>
    <xf numFmtId="10" fontId="0" fillId="0" borderId="0" xfId="2" applyNumberFormat="1" applyFont="1" applyBorder="1" applyAlignment="1" applyProtection="1">
      <alignment horizontal="center"/>
      <protection hidden="1"/>
    </xf>
    <xf numFmtId="43" fontId="0" fillId="0" borderId="0" xfId="0" applyNumberFormat="1" applyBorder="1" applyProtection="1">
      <protection hidden="1"/>
    </xf>
    <xf numFmtId="164" fontId="0" fillId="4" borderId="0" xfId="0" applyNumberFormat="1" applyFill="1" applyBorder="1" applyProtection="1">
      <protection hidden="1"/>
    </xf>
    <xf numFmtId="43" fontId="0" fillId="0" borderId="0" xfId="1" applyFont="1" applyBorder="1" applyProtection="1">
      <protection hidden="1"/>
    </xf>
    <xf numFmtId="10" fontId="0" fillId="0" borderId="0" xfId="2" applyNumberFormat="1" applyFont="1" applyBorder="1" applyProtection="1">
      <protection hidden="1"/>
    </xf>
    <xf numFmtId="9" fontId="0" fillId="0" borderId="0" xfId="2" applyFont="1" applyBorder="1" applyProtection="1">
      <protection hidden="1"/>
    </xf>
    <xf numFmtId="9" fontId="0" fillId="0" borderId="3" xfId="2" applyFont="1" applyBorder="1" applyProtection="1">
      <protection hidden="1"/>
    </xf>
    <xf numFmtId="0" fontId="0" fillId="5" borderId="0" xfId="0" applyFill="1" applyBorder="1" applyAlignment="1" applyProtection="1">
      <alignment horizontal="center"/>
      <protection hidden="1"/>
    </xf>
    <xf numFmtId="43" fontId="0" fillId="5" borderId="0" xfId="1" applyFont="1" applyFill="1" applyBorder="1" applyAlignment="1" applyProtection="1">
      <alignment horizontal="center"/>
      <protection hidden="1"/>
    </xf>
    <xf numFmtId="10" fontId="0" fillId="5" borderId="0" xfId="2" applyNumberFormat="1" applyFont="1" applyFill="1" applyBorder="1" applyAlignment="1" applyProtection="1">
      <alignment horizontal="center"/>
      <protection hidden="1"/>
    </xf>
    <xf numFmtId="43" fontId="0" fillId="5" borderId="0" xfId="0" applyNumberFormat="1" applyFill="1" applyBorder="1" applyProtection="1">
      <protection hidden="1"/>
    </xf>
    <xf numFmtId="0" fontId="0" fillId="5" borderId="0" xfId="0" applyFill="1" applyBorder="1" applyProtection="1">
      <protection hidden="1"/>
    </xf>
    <xf numFmtId="43" fontId="0" fillId="5" borderId="0" xfId="1" applyFont="1" applyFill="1" applyBorder="1" applyProtection="1">
      <protection hidden="1"/>
    </xf>
    <xf numFmtId="10" fontId="0" fillId="5" borderId="0" xfId="2" applyNumberFormat="1" applyFont="1" applyFill="1" applyBorder="1" applyProtection="1">
      <protection hidden="1"/>
    </xf>
    <xf numFmtId="9" fontId="0" fillId="5" borderId="0" xfId="2" applyFont="1" applyFill="1" applyBorder="1" applyProtection="1">
      <protection hidden="1"/>
    </xf>
    <xf numFmtId="9" fontId="0" fillId="5" borderId="3" xfId="2" applyFont="1" applyFill="1" applyBorder="1" applyProtection="1">
      <protection hidden="1"/>
    </xf>
    <xf numFmtId="0" fontId="0" fillId="0" borderId="0" xfId="0" applyBorder="1" applyProtection="1">
      <protection hidden="1"/>
    </xf>
    <xf numFmtId="43" fontId="4" fillId="6" borderId="10" xfId="1" applyFont="1" applyFill="1" applyBorder="1" applyAlignment="1" applyProtection="1">
      <alignment horizontal="center"/>
      <protection hidden="1"/>
    </xf>
    <xf numFmtId="43" fontId="0" fillId="6" borderId="10" xfId="1" applyFont="1" applyFill="1" applyBorder="1" applyAlignment="1" applyProtection="1">
      <alignment horizontal="center"/>
      <protection hidden="1"/>
    </xf>
    <xf numFmtId="0" fontId="0" fillId="7" borderId="0" xfId="0" applyFill="1" applyBorder="1" applyAlignment="1" applyProtection="1">
      <alignment horizontal="center"/>
      <protection hidden="1"/>
    </xf>
    <xf numFmtId="0" fontId="0" fillId="7" borderId="4" xfId="0" applyFill="1" applyBorder="1" applyAlignment="1" applyProtection="1">
      <alignment horizontal="center"/>
      <protection hidden="1"/>
    </xf>
    <xf numFmtId="0" fontId="0" fillId="5" borderId="4" xfId="0" applyFill="1" applyBorder="1" applyAlignment="1" applyProtection="1">
      <alignment horizontal="center"/>
      <protection hidden="1"/>
    </xf>
    <xf numFmtId="43" fontId="0" fillId="5" borderId="4" xfId="1" applyFont="1" applyFill="1" applyBorder="1" applyAlignment="1" applyProtection="1">
      <alignment horizontal="center"/>
      <protection hidden="1"/>
    </xf>
    <xf numFmtId="0" fontId="0" fillId="5" borderId="4" xfId="0" applyFill="1" applyBorder="1" applyProtection="1">
      <protection hidden="1"/>
    </xf>
    <xf numFmtId="10" fontId="0" fillId="5" borderId="4" xfId="2" applyNumberFormat="1" applyFont="1" applyFill="1" applyBorder="1" applyAlignment="1" applyProtection="1">
      <alignment horizontal="center"/>
      <protection hidden="1"/>
    </xf>
    <xf numFmtId="43" fontId="0" fillId="5" borderId="4" xfId="0" applyNumberFormat="1" applyFill="1" applyBorder="1" applyProtection="1">
      <protection hidden="1"/>
    </xf>
    <xf numFmtId="43" fontId="0" fillId="5" borderId="4" xfId="1" applyFont="1" applyFill="1" applyBorder="1" applyProtection="1">
      <protection hidden="1"/>
    </xf>
    <xf numFmtId="10" fontId="0" fillId="5" borderId="4" xfId="2" applyNumberFormat="1" applyFont="1" applyFill="1" applyBorder="1" applyProtection="1">
      <protection hidden="1"/>
    </xf>
    <xf numFmtId="9" fontId="0" fillId="5" borderId="4" xfId="2" applyFont="1" applyFill="1" applyBorder="1" applyProtection="1">
      <protection hidden="1"/>
    </xf>
    <xf numFmtId="9" fontId="0" fillId="5" borderId="5" xfId="2" applyFont="1" applyFill="1" applyBorder="1" applyProtection="1">
      <protection hidden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tryd.rtdserver">
      <tp>
        <v>35.89</v>
        <stp/>
        <stp>COT</stp>
        <stp>PETR3</stp>
        <stp>ult</stp>
        <tr r="L21" s="1"/>
      </tp>
      <tp>
        <v>32.36</v>
        <stp/>
        <stp>COT</stp>
        <stp>PETR4</stp>
        <stp>ult</stp>
        <tr r="L10" s="1"/>
      </tp>
      <tp>
        <v>30.21</v>
        <stp/>
        <stp>COT</stp>
        <stp>TOTS3</stp>
        <stp>ult</stp>
        <tr r="L24" s="1"/>
        <tr r="L13" s="1"/>
      </tp>
      <tp>
        <v>9.67</v>
        <stp/>
        <stp>COT</stp>
        <stp>PETZ3</stp>
        <stp>ult</stp>
        <tr r="L11" s="1"/>
        <tr r="L22" s="1"/>
      </tp>
      <tp>
        <v>-2.87</v>
        <stp/>
        <stp>COT</stp>
        <stp>aapl34</stp>
        <stp>VarPer</stp>
        <tr r="G5" s="2"/>
      </tp>
      <tp>
        <v>9.7799999999999994</v>
        <stp/>
        <stp>COT</stp>
        <stp>LWSA3</stp>
        <stp>ult</stp>
        <tr r="L20" s="1"/>
        <tr r="L9" s="1"/>
      </tp>
      <tp>
        <v>10.26</v>
        <stp/>
        <stp>COT</stp>
        <stp>GOLL4</stp>
        <stp>ult</stp>
        <tr r="L18" s="1"/>
        <tr r="L7" s="1"/>
      </tp>
      <tp t="b">
        <v>0</v>
        <stp/>
        <stp>COT</stp>
        <stp>bbasu382</stp>
        <stp>desc</stp>
        <tr r="E4" s="2"/>
      </tp>
      <tp>
        <v>0</v>
        <stp/>
        <stp>COT</stp>
        <stp>bbasu382</stp>
        <stp>fech</stp>
        <tr r="F4" s="2"/>
      </tp>
      <tp>
        <v>23.27</v>
        <stp/>
        <stp>COT</stp>
        <stp>PRIO3</stp>
        <stp>ult</stp>
        <tr r="L23" s="1"/>
        <tr r="L12" s="1"/>
      </tp>
      <tp>
        <v>2.15</v>
        <stp/>
        <stp>COT</stp>
        <stp>IRBR3</stp>
        <stp>ult</stp>
        <tr r="L8" s="1"/>
        <tr r="L19" s="1"/>
      </tp>
      <tp>
        <v>0</v>
        <stp/>
        <stp>COT</stp>
        <stp/>
        <stp>Abert</stp>
        <tr r="M4" s="2"/>
      </tp>
      <tp>
        <v>41.4</v>
        <stp/>
        <stp>COT</stp>
        <stp>BBAS3</stp>
        <stp>ult</stp>
        <tr r="L15" s="1"/>
        <tr r="L4" s="1"/>
      </tp>
      <tp>
        <v>6.8</v>
        <stp/>
        <stp>COT</stp>
        <stp>BPAN4</stp>
        <stp>ult</stp>
        <tr r="L17" s="1"/>
        <tr r="L6" s="1"/>
      </tp>
      <tp t="b">
        <v>0</v>
        <stp/>
        <stp>COT</stp>
        <stp>APPLE DRN</stp>
        <stp>Abert</stp>
        <tr r="J5" s="2"/>
      </tp>
      <tp t="b">
        <v>0</v>
        <stp/>
        <stp>COT</stp>
        <stp>PETRu38</stp>
        <stp>Exerc</stp>
        <tr r="F21" s="1"/>
      </tp>
      <tp t="s">
        <v/>
        <stp/>
        <stp>COT</stp>
        <stp>PETRu38</stp>
        <stp>Expir</stp>
        <tr r="P21" s="1"/>
      </tp>
      <tp>
        <v>88.92</v>
        <stp/>
        <stp>COT</stp>
        <stp>aapl34</stp>
        <stp>fech</stp>
        <tr r="F5" s="2"/>
      </tp>
      <tp t="s">
        <v>APPLE DRN</v>
        <stp/>
        <stp>COT</stp>
        <stp>aapl34</stp>
        <stp>desc</stp>
        <tr r="E5" s="2"/>
      </tp>
      <tp t="b">
        <v>0</v>
        <stp/>
        <stp>COT</stp>
        <stp>LWSAu900</stp>
        <stp>ult</stp>
        <tr r="M20" s="1"/>
      </tp>
      <tp t="b">
        <v>0</v>
        <stp/>
        <stp>COT</stp>
        <stp>BPANi800</stp>
        <stp>ult</stp>
        <tr r="M6" s="1"/>
      </tp>
      <tp>
        <v>25.37</v>
        <stp/>
        <stp>COT</stp>
        <stp>BPAC11</stp>
        <stp>ult</stp>
        <tr r="L5" s="1"/>
        <tr r="L16" s="1"/>
      </tp>
      <tp t="b">
        <v>0</v>
        <stp/>
        <stp>COT</stp>
        <stp>LWSAi115</stp>
        <stp>ult</stp>
        <tr r="M9" s="1"/>
      </tp>
      <tp t="b">
        <v>0</v>
        <stp/>
        <stp>COT</stp>
        <stp>BPANu660</stp>
        <stp>ult</stp>
        <tr r="M17" s="1"/>
      </tp>
      <tp t="b">
        <v>0</v>
        <stp/>
        <stp>COT</stp>
        <stp>IRBRi210</stp>
        <stp>ult</stp>
        <tr r="M8" s="1"/>
      </tp>
      <tp t="b">
        <v>0</v>
        <stp/>
        <stp>COT</stp>
        <stp>IRBRu210</stp>
        <stp>ult</stp>
        <tr r="M19" s="1"/>
      </tp>
      <tp t="b">
        <v>0</v>
        <stp/>
        <stp>COT</stp>
        <stp>PRIOi285</stp>
        <stp>ult</stp>
        <tr r="M12" s="1"/>
      </tp>
      <tp t="b">
        <v>0</v>
        <stp/>
        <stp>COT</stp>
        <stp>PRIOu205</stp>
        <stp>ult</stp>
        <tr r="M23" s="1"/>
      </tp>
      <tp>
        <v>0</v>
        <stp/>
        <stp>COT</stp>
        <stp>bbasu382</stp>
        <stp>VarPer</stp>
        <tr r="G4" s="2"/>
      </tp>
      <tp t="b">
        <v>0</v>
        <stp/>
        <stp>COT</stp>
        <stp>BPACu240</stp>
        <stp>ult</stp>
        <tr r="M16" s="1"/>
      </tp>
      <tp t="b">
        <v>0</v>
        <stp/>
        <stp>COT</stp>
        <stp>BPACi295</stp>
        <stp>ult</stp>
        <tr r="M5" s="1"/>
      </tp>
      <tp t="b">
        <v>0</v>
        <stp/>
        <stp>COT</stp>
        <stp>TOTSu275</stp>
        <stp>ult</stp>
        <tr r="M24" s="1"/>
      </tp>
      <tp t="b">
        <v>0</v>
        <stp/>
        <stp>COT</stp>
        <stp>TOTSi320</stp>
        <stp>ult</stp>
        <tr r="M13" s="1"/>
      </tp>
      <tp t="b">
        <v>0</v>
        <stp/>
        <stp>COT</stp>
        <stp>PETZu910</stp>
        <stp>ult</stp>
        <tr r="M22" s="1"/>
      </tp>
      <tp t="b">
        <v>0</v>
        <stp/>
        <stp>COT</stp>
        <stp>GOLLi135</stp>
        <stp>ult</stp>
        <tr r="M7" s="1"/>
      </tp>
      <tp t="b">
        <v>0</v>
        <stp/>
        <stp>COT</stp>
        <stp>BBASE ON 38,28</stp>
        <stp>Abert</stp>
        <tr r="J4" s="2"/>
      </tp>
      <tp t="b">
        <v>0</v>
        <stp/>
        <stp>COT</stp>
        <stp>PETZi132</stp>
        <stp>ult</stp>
        <tr r="M11" s="1"/>
      </tp>
      <tp>
        <v>0</v>
        <stp/>
        <stp>COT</stp>
        <stp>0</stp>
        <stp>Abert</stp>
        <tr r="AM5" s="2"/>
        <tr r="AH5" s="2"/>
        <tr r="AC5" s="2"/>
        <tr r="X5" s="2"/>
        <tr r="S5" s="2"/>
        <tr r="N5" s="2"/>
        <tr r="AO5" s="2"/>
        <tr r="AJ5" s="2"/>
        <tr r="AE5" s="2"/>
        <tr r="Z5" s="2"/>
        <tr r="U5" s="2"/>
        <tr r="P5" s="2"/>
        <tr r="AP5" s="2"/>
        <tr r="AK5" s="2"/>
        <tr r="AF5" s="2"/>
        <tr r="AA5" s="2"/>
        <tr r="V5" s="2"/>
        <tr r="Q5" s="2"/>
        <tr r="AO4" s="2"/>
        <tr r="AJ4" s="2"/>
        <tr r="AE4" s="2"/>
        <tr r="Z4" s="2"/>
        <tr r="U4" s="2"/>
        <tr r="P4" s="2"/>
        <tr r="K4" s="2"/>
        <tr r="AQ5" s="2"/>
        <tr r="AL5" s="2"/>
        <tr r="AG5" s="2"/>
        <tr r="AB5" s="2"/>
        <tr r="W5" s="2"/>
        <tr r="R5" s="2"/>
        <tr r="AP4" s="2"/>
        <tr r="AK4" s="2"/>
        <tr r="AF4" s="2"/>
        <tr r="AA4" s="2"/>
        <tr r="V4" s="2"/>
        <tr r="Q4" s="2"/>
        <tr r="L4" s="2"/>
        <tr r="AQ4" s="2"/>
        <tr r="AL4" s="2"/>
        <tr r="AG4" s="2"/>
        <tr r="AB4" s="2"/>
        <tr r="W4" s="2"/>
        <tr r="R4" s="2"/>
        <tr r="AM4" s="2"/>
        <tr r="AH4" s="2"/>
        <tr r="AC4" s="2"/>
        <tr r="X4" s="2"/>
        <tr r="S4" s="2"/>
        <tr r="N4" s="2"/>
        <tr r="AN5" s="2"/>
        <tr r="AI5" s="2"/>
        <tr r="AD5" s="2"/>
        <tr r="Y5" s="2"/>
        <tr r="T5" s="2"/>
        <tr r="O5" s="2"/>
        <tr r="O4" s="2"/>
        <tr r="T4" s="2"/>
        <tr r="Y4" s="2"/>
        <tr r="AD4" s="2"/>
        <tr r="AI4" s="2"/>
        <tr r="AN4" s="2"/>
      </tp>
      <tp>
        <v>0</v>
        <stp/>
        <stp>COT</stp>
        <stp>0</stp>
        <stp>abert</stp>
        <tr r="I4" s="2"/>
      </tp>
      <tp t="b">
        <v>0</v>
        <stp/>
        <stp>COT</stp>
        <stp>PETRi375</stp>
        <stp>ult</stp>
        <tr r="M10" s="1"/>
      </tp>
      <tp t="b">
        <v>0</v>
        <stp/>
        <stp>COT</stp>
        <stp>BBASi457</stp>
        <stp>ult</stp>
        <tr r="M4" s="1"/>
      </tp>
      <tp t="b">
        <v>0</v>
        <stp/>
        <stp>COT</stp>
        <stp>GOLLu920</stp>
        <stp>ult</stp>
        <tr r="M18" s="1"/>
      </tp>
      <tp>
        <v>0</v>
        <stp/>
        <stp>COT</stp>
        <stp>BBASu382</stp>
        <stp>ult</stp>
        <tr r="M15" s="1"/>
      </tp>
      <tp>
        <v>0</v>
        <stp/>
        <stp>COT</stp>
        <stp>PETRu38</stp>
        <stp>ult</stp>
        <tr r="M21" s="1"/>
      </tp>
      <tp t="b">
        <v>0</v>
        <stp/>
        <stp>COT</stp>
        <stp>Opção</stp>
        <stp>Expir</stp>
        <tr r="P14" s="1"/>
      </tp>
      <tp t="b">
        <v>0</v>
        <stp/>
        <stp>COT</stp>
        <stp>88,92</stp>
        <stp>Abert</stp>
        <tr r="K5" s="2"/>
      </tp>
      <tp>
        <v>0</v>
        <stp/>
        <stp>COT</stp>
        <stp>BPACi295</stp>
        <stp>Exerc</stp>
        <tr r="F5" s="1"/>
      </tp>
      <tp t="s">
        <v/>
        <stp/>
        <stp>COT</stp>
        <stp>TOTSi320</stp>
        <stp>Expir</stp>
        <tr r="P13" s="1"/>
      </tp>
      <tp t="s">
        <v/>
        <stp/>
        <stp>COT</stp>
        <stp>IRBRi210</stp>
        <stp>Expir</stp>
        <tr r="P8" s="1"/>
      </tp>
      <tp t="s">
        <v/>
        <stp/>
        <stp>COT</stp>
        <stp>IRBRu210</stp>
        <stp>Expir</stp>
        <tr r="P19" s="1"/>
      </tp>
      <tp t="s">
        <v/>
        <stp/>
        <stp>COT</stp>
        <stp>BBASu382</stp>
        <stp>Expir</stp>
        <tr r="P15" s="1"/>
      </tp>
      <tp>
        <v>0</v>
        <stp/>
        <stp>COT</stp>
        <stp>LWSAi115</stp>
        <stp>Exerc</stp>
        <tr r="F9" s="1"/>
      </tp>
      <tp t="b">
        <v>0</v>
        <stp/>
        <stp>COT</stp>
        <stp>86,36</stp>
        <stp>Abert</stp>
        <tr r="I5" s="2"/>
      </tp>
      <tp>
        <v>86.36</v>
        <stp/>
        <stp>COT</stp>
        <stp>aapl34</stp>
        <stp>ult</stp>
        <tr r="D5" s="2"/>
      </tp>
      <tp t="s">
        <v/>
        <stp/>
        <stp>COT</stp>
        <stp>PETRi375</stp>
        <stp>Expir</stp>
        <tr r="P10" s="1"/>
      </tp>
      <tp t="s">
        <v/>
        <stp/>
        <stp>COT</stp>
        <stp>TOTSu275</stp>
        <stp>Expir</stp>
        <tr r="P24" s="1"/>
      </tp>
      <tp>
        <v>0</v>
        <stp/>
        <stp>COT</stp>
        <stp>BPACu240</stp>
        <stp>Exerc</stp>
        <tr r="F16" s="1"/>
      </tp>
      <tp t="b">
        <v>0</v>
        <stp/>
        <stp>COT</stp>
        <stp>87,94</stp>
        <stp>Abert</stp>
        <tr r="M5" s="2"/>
      </tp>
      <tp>
        <v>0</v>
        <stp/>
        <stp>COT</stp>
        <stp>LWSAu900</stp>
        <stp>Exerc</stp>
        <tr r="F20" s="1"/>
      </tp>
      <tp t="s">
        <v/>
        <stp/>
        <stp>COT</stp>
        <stp>BBASi457</stp>
        <stp>Expir</stp>
        <tr r="P4" s="1"/>
      </tp>
      <tp>
        <v>87.94</v>
        <stp/>
        <stp>COT</stp>
        <stp>aapl34</stp>
        <stp>Abert</stp>
        <tr r="H5" s="2"/>
      </tp>
      <tp>
        <v>0</v>
        <stp/>
        <stp>COT</stp>
        <stp>BPANu660</stp>
        <stp>Exerc</stp>
        <tr r="F17" s="1"/>
      </tp>
      <tp>
        <v>0</v>
        <stp/>
        <stp>COT</stp>
        <stp>BPANi800</stp>
        <stp>Exerc</stp>
        <tr r="F6" s="1"/>
      </tp>
      <tp t="s">
        <v/>
        <stp/>
        <stp>COT</stp>
        <stp>PETZu910</stp>
        <stp>Expir</stp>
        <tr r="P22" s="1"/>
      </tp>
      <tp>
        <v>0</v>
        <stp/>
        <stp>COT</stp>
        <stp>GOLLu920</stp>
        <stp>Exerc</stp>
        <tr r="F18" s="1"/>
      </tp>
      <tp t="s">
        <v/>
        <stp/>
        <stp>COT</stp>
        <stp>PETZi132</stp>
        <stp>Expir</stp>
        <tr r="P11" s="1"/>
      </tp>
      <tp>
        <v>0</v>
        <stp/>
        <stp>COT</stp>
        <stp>PRIOi285</stp>
        <stp>Exerc</stp>
        <tr r="F12" s="1"/>
      </tp>
      <tp>
        <v>0</v>
        <stp/>
        <stp>COT</stp>
        <stp>PRIOu205</stp>
        <stp>Exerc</stp>
        <tr r="F23" s="1"/>
      </tp>
      <tp>
        <v>0</v>
        <stp/>
        <stp>COT</stp>
        <stp>GOLLi135</stp>
        <stp>Exerc</stp>
        <tr r="F7" s="1"/>
      </tp>
      <tp t="b">
        <v>0</v>
        <stp/>
        <stp>COT</stp>
        <stp>-2,87</stp>
        <stp>Abert</stp>
        <tr r="L5" s="2"/>
      </tp>
      <tp t="s">
        <v/>
        <stp/>
        <stp>COT</stp>
        <stp>BPACu240</stp>
        <stp>Expir</stp>
        <tr r="P16" s="1"/>
      </tp>
      <tp>
        <v>0</v>
        <stp/>
        <stp>COT</stp>
        <stp>TOTSu275</stp>
        <stp>Exerc</stp>
        <tr r="F24" s="1"/>
      </tp>
      <tp>
        <v>0</v>
        <stp/>
        <stp>COT</stp>
        <stp>PETRi375</stp>
        <stp>Exerc</stp>
        <tr r="F10" s="1"/>
      </tp>
      <tp>
        <v>0</v>
        <stp/>
        <stp>COT</stp>
        <stp>BBASi457</stp>
        <stp>Exerc</stp>
        <tr r="F4" s="1"/>
      </tp>
      <tp t="s">
        <v/>
        <stp/>
        <stp>COT</stp>
        <stp>LWSAu900</stp>
        <stp>Expir</stp>
        <tr r="P20" s="1"/>
      </tp>
      <tp>
        <v>0</v>
        <stp/>
        <stp>COT</stp>
        <stp>IRBRu210</stp>
        <stp>Exerc</stp>
        <tr r="F19" s="1"/>
      </tp>
      <tp>
        <v>0</v>
        <stp/>
        <stp>COT</stp>
        <stp>IRBRi210</stp>
        <stp>Exerc</stp>
        <tr r="F8" s="1"/>
      </tp>
      <tp>
        <v>0</v>
        <stp/>
        <stp>COT</stp>
        <stp>TOTSi320</stp>
        <stp>Exerc</stp>
        <tr r="F13" s="1"/>
      </tp>
      <tp t="s">
        <v/>
        <stp/>
        <stp>COT</stp>
        <stp>BPACi295</stp>
        <stp>Expir</stp>
        <tr r="P5" s="1"/>
      </tp>
      <tp t="s">
        <v/>
        <stp/>
        <stp>COT</stp>
        <stp>LWSAi115</stp>
        <stp>Expir</stp>
        <tr r="P9" s="1"/>
      </tp>
      <tp>
        <v>0</v>
        <stp/>
        <stp>COT</stp>
        <stp>BBASu382</stp>
        <stp>Exerc</stp>
        <tr r="F15" s="1"/>
      </tp>
      <tp t="s">
        <v/>
        <stp/>
        <stp>COT</stp>
        <stp>PRIOu205</stp>
        <stp>Expir</stp>
        <tr r="P23" s="1"/>
      </tp>
      <tp t="s">
        <v/>
        <stp/>
        <stp>COT</stp>
        <stp>PRIOi285</stp>
        <stp>Expir</stp>
        <tr r="P12" s="1"/>
      </tp>
      <tp t="s">
        <v/>
        <stp/>
        <stp>COT</stp>
        <stp>GOLLi135</stp>
        <stp>Expir</stp>
        <tr r="P7" s="1"/>
      </tp>
      <tp t="b">
        <v>0</v>
        <stp/>
        <stp>COT</stp>
        <stp>bbasu382</stp>
        <stp>preexe</stp>
        <tr r="H4" s="2"/>
      </tp>
      <tp>
        <v>0</v>
        <stp/>
        <stp>COT</stp>
        <stp>bbasu382</stp>
        <stp>ult</stp>
        <tr r="D4" s="2"/>
      </tp>
      <tp>
        <v>0</v>
        <stp/>
        <stp>COT</stp>
        <stp>PETZu910</stp>
        <stp>Exerc</stp>
        <tr r="F22" s="1"/>
      </tp>
      <tp t="s">
        <v/>
        <stp/>
        <stp>COT</stp>
        <stp>BPANi800</stp>
        <stp>Expir</stp>
        <tr r="P6" s="1"/>
      </tp>
      <tp t="s">
        <v/>
        <stp/>
        <stp>COT</stp>
        <stp>BPANu660</stp>
        <stp>Expir</stp>
        <tr r="P17" s="1"/>
      </tp>
      <tp>
        <v>0</v>
        <stp/>
        <stp>COT</stp>
        <stp>PETZi132</stp>
        <stp>Exerc</stp>
        <tr r="F11" s="1"/>
      </tp>
      <tp t="s">
        <v/>
        <stp/>
        <stp>COT</stp>
        <stp>GOLLu920</stp>
        <stp>Expir</stp>
        <tr r="P18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externalLink" Target="externalLinks/externalLink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volatileDependencies" Target="volatileDependencies.xm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Stech" ddeTopic="COT">
    <ddeItems>
      <ddeItem name="AAPL34.Desc" advise="1">
        <values>
          <value t="str">
            <val>APPLE DRN</val>
          </value>
        </values>
      </ddeItem>
      <ddeItem name="AAPL34.Estado" advise="1">
        <values>
          <value t="str">
            <val>Normal</val>
          </value>
        </values>
      </ddeItem>
      <ddeItem name="AAPL34.Exerc" advise="1">
        <values>
          <value>
            <val>0</val>
          </value>
        </values>
      </ddeItem>
      <ddeItem name="AAPL34.Expir" advise="1">
        <values>
          <value t="nil">
            <val>1</val>
          </value>
        </values>
      </ddeItem>
      <ddeItem name="AAPL34.Fech" advise="1">
        <values cols="2">
          <value>
            <val>88</val>
          </value>
          <value>
            <val>92</val>
          </value>
        </values>
      </ddeItem>
      <ddeItem name="AAPL34.Hora" advise="1">
        <values>
          <value>
            <val>0.73146990740740747</val>
          </value>
        </values>
      </ddeItem>
      <ddeItem name="AAPL34.IbovParticip" advise="1">
        <values>
          <value>
            <val>0</val>
          </value>
        </values>
      </ddeItem>
      <ddeItem name="AAPL34.PreTeo" advise="1">
        <values>
          <value>
            <val>0</val>
          </value>
        </values>
      </ddeItem>
      <ddeItem name="AAPL34.QtdNeg" advise="1">
        <values>
          <value>
            <val>911</val>
          </value>
        </values>
      </ddeItem>
      <ddeItem name="AAPL34.Ult" advise="1">
        <values cols="2">
          <value>
            <val>86</val>
          </value>
          <value>
            <val>56</val>
          </value>
        </values>
      </ddeItem>
      <ddeItem name="AAPL34.Var12M" advise="1">
        <values cols="2">
          <value>
            <val>8</val>
          </value>
          <value>
            <val>83</val>
          </value>
        </values>
      </ddeItem>
      <ddeItem name="AAPL34.VarAnual" advise="1">
        <values cols="2">
          <value>
            <val>-12</val>
          </value>
          <value>
            <val>21</val>
          </value>
        </values>
      </ddeItem>
      <ddeItem name="AAPL34.VarMes" advise="1">
        <values cols="2">
          <value>
            <val>2</val>
          </value>
          <value>
            <val>87</val>
          </value>
        </values>
      </ddeItem>
      <ddeItem name="AAPL34.VarPer" advise="1">
        <values cols="2">
          <value>
            <val>-2</val>
          </value>
          <value>
            <val>65</val>
          </value>
        </values>
      </ddeItem>
      <ddeItem name="AAPL34.VarSem" advise="1">
        <values cols="2">
          <value>
            <val>-2</val>
          </value>
          <value>
            <val>64</val>
          </value>
        </values>
      </ddeItem>
      <ddeItem name="AAPL34.Vol" advise="1">
        <values>
          <value>
            <val>14473097</val>
          </value>
        </values>
      </ddeItem>
      <ddeItem name="ABEV3.Desc" advise="1">
        <values>
          <value t="str">
            <val>AMBEV S/A ON</val>
          </value>
        </values>
      </ddeItem>
      <ddeItem name="ABEV3.Estado" advise="1">
        <values>
          <value t="str">
            <val>Normal</val>
          </value>
        </values>
      </ddeItem>
      <ddeItem name="ABEV3.Exerc" advise="1">
        <values>
          <value>
            <val>0</val>
          </value>
        </values>
      </ddeItem>
      <ddeItem name="ABEV3.Expir" advise="1">
        <values>
          <value t="nil">
            <val>1</val>
          </value>
        </values>
      </ddeItem>
      <ddeItem name="ABEV3.Fech" advise="1">
        <values cols="2">
          <value>
            <val>15</val>
          </value>
          <value>
            <val>66</val>
          </value>
        </values>
      </ddeItem>
      <ddeItem name="ABEV3.Hora" advise="1">
        <values>
          <value>
            <val>0.74746527777777771</val>
          </value>
        </values>
      </ddeItem>
      <ddeItem name="ABEV3.IbovParticip" advise="1">
        <values cols="2">
          <value>
            <val>3</val>
          </value>
          <value>
            <val>4162</val>
          </value>
        </values>
      </ddeItem>
      <ddeItem name="ABEV3.PreTeo" advise="1">
        <values>
          <value>
            <val>0</val>
          </value>
        </values>
      </ddeItem>
      <ddeItem name="ABEV3.QtdNeg" advise="1">
        <values>
          <value>
            <val>27353</val>
          </value>
        </values>
      </ddeItem>
      <ddeItem name="ABEV3.Ult" advise="1">
        <values cols="2">
          <value>
            <val>15</val>
          </value>
          <value>
            <val>47</val>
          </value>
        </values>
      </ddeItem>
      <ddeItem name="ABEV3.Var12M" advise="1">
        <values cols="2">
          <value>
            <val>-8</val>
          </value>
          <value>
            <val>78</val>
          </value>
        </values>
      </ddeItem>
      <ddeItem name="ABEV3.VarAnual" advise="1">
        <values cols="2">
          <value>
            <val>0</val>
          </value>
          <value>
            <val>32</val>
          </value>
        </values>
      </ddeItem>
      <ddeItem name="ABEV3.VarMes" advise="1">
        <values cols="2">
          <value>
            <val>3</val>
          </value>
          <value>
            <val>61</val>
          </value>
        </values>
      </ddeItem>
      <ddeItem name="ABEV3.VarPer" advise="1">
        <values cols="2">
          <value>
            <val>-1</val>
          </value>
          <value>
            <val>21</val>
          </value>
        </values>
      </ddeItem>
      <ddeItem name="ABEV3.VarSem" advise="1">
        <values cols="2">
          <value>
            <val>-1</val>
          </value>
          <value>
            <val>21</val>
          </value>
        </values>
      </ddeItem>
      <ddeItem name="ABEV3.Vol" advise="1">
        <values>
          <value>
            <val>280623698</val>
          </value>
        </values>
      </ddeItem>
      <ddeItem name="ALPA4.Desc" advise="1">
        <values>
          <value t="str">
            <val>ALPARGATAS PN N1</val>
          </value>
        </values>
      </ddeItem>
      <ddeItem name="ALPA4.Estado" advise="1">
        <values>
          <value t="str">
            <val>Normal</val>
          </value>
        </values>
      </ddeItem>
      <ddeItem name="ALPA4.Exerc" advise="1">
        <values>
          <value>
            <val>0</val>
          </value>
        </values>
      </ddeItem>
      <ddeItem name="ALPA4.Expir" advise="1">
        <values>
          <value t="nil">
            <val>1</val>
          </value>
        </values>
      </ddeItem>
      <ddeItem name="ALPA4.Fech" advise="1">
        <values cols="2">
          <value>
            <val>19</val>
          </value>
          <value>
            <val>3</val>
          </value>
        </values>
      </ddeItem>
      <ddeItem name="ALPA4.Hora" advise="1">
        <values>
          <value>
            <val>0.74633101851851846</val>
          </value>
        </values>
      </ddeItem>
      <ddeItem name="ALPA4.IbovParticip" advise="1">
        <values cols="2">
          <value>
            <val>0</val>
          </value>
          <value>
            <val>1934</val>
          </value>
        </values>
      </ddeItem>
      <ddeItem name="ALPA4.PreTeo" advise="1">
        <values>
          <value>
            <val>0</val>
          </value>
        </values>
      </ddeItem>
      <ddeItem name="ALPA4.QtdNeg" advise="1">
        <values>
          <value>
            <val>11852</val>
          </value>
        </values>
      </ddeItem>
      <ddeItem name="ALPA4.Ult" advise="1">
        <values cols="2">
          <value>
            <val>18</val>
          </value>
          <value>
            <val>8</val>
          </value>
        </values>
      </ddeItem>
      <ddeItem name="ALPA4.Var12M" advise="1">
        <values cols="2">
          <value>
            <val>-67</val>
          </value>
          <value>
            <val>5</val>
          </value>
        </values>
      </ddeItem>
      <ddeItem name="ALPA4.VarAnual" advise="1">
        <values cols="2">
          <value>
            <val>-49</val>
          </value>
          <value>
            <val>2</val>
          </value>
        </values>
      </ddeItem>
      <ddeItem name="ALPA4.VarMes" advise="1">
        <values cols="2">
          <value>
            <val>-14</val>
          </value>
          <value>
            <val>5</val>
          </value>
        </values>
      </ddeItem>
      <ddeItem name="ALPA4.VarPer" advise="1">
        <values cols="2">
          <value>
            <val>-2</val>
          </value>
          <value>
            <val>59</val>
          </value>
        </values>
      </ddeItem>
      <ddeItem name="ALPA4.VarSem" advise="1">
        <values cols="2">
          <value>
            <val>-2</val>
          </value>
          <value>
            <val>54</val>
          </value>
        </values>
      </ddeItem>
      <ddeItem name="ALPA4.Vol" advise="1">
        <values>
          <value>
            <val>49122232</val>
          </value>
        </values>
      </ddeItem>
      <ddeItem name="ALSO3.Desc" advise="1">
        <values>
          <value t="str">
            <val>ALIANSCSONAEON NM</val>
          </value>
        </values>
      </ddeItem>
      <ddeItem name="ALSO3.Estado" advise="1">
        <values>
          <value t="str">
            <val>Normal</val>
          </value>
        </values>
      </ddeItem>
      <ddeItem name="ALSO3.Exerc" advise="1">
        <values>
          <value>
            <val>0</val>
          </value>
        </values>
      </ddeItem>
      <ddeItem name="ALSO3.Expir" advise="1">
        <values>
          <value t="nil">
            <val>1</val>
          </value>
        </values>
      </ddeItem>
      <ddeItem name="ALSO3.Fech" advise="1">
        <values cols="2">
          <value>
            <val>18</val>
          </value>
          <value>
            <val>51</val>
          </value>
        </values>
      </ddeItem>
      <ddeItem name="ALSO3.Hora" advise="1">
        <values>
          <value>
            <val>0.74997685185185192</val>
          </value>
        </values>
      </ddeItem>
      <ddeItem name="ALSO3.IbovParticip" advise="1">
        <values>
          <value>
            <val>0</val>
          </value>
        </values>
      </ddeItem>
      <ddeItem name="ALSO3.PreTeo" advise="1">
        <values>
          <value>
            <val>0</val>
          </value>
        </values>
      </ddeItem>
      <ddeItem name="ALSO3.QtdNeg" advise="1">
        <values>
          <value>
            <val>7438</val>
          </value>
        </values>
      </ddeItem>
      <ddeItem name="ALSO3.Ult" advise="1">
        <values cols="2">
          <value>
            <val>18</val>
          </value>
          <value>
            <val>18</val>
          </value>
        </values>
      </ddeItem>
      <ddeItem name="ALSO3.Var12M" advise="1">
        <values cols="2">
          <value>
            <val>-28</val>
          </value>
          <value>
            <val>17</val>
          </value>
        </values>
      </ddeItem>
      <ddeItem name="ALSO3.VarAnual" advise="1">
        <values cols="2">
          <value>
            <val>-14</val>
          </value>
          <value>
            <val>44</val>
          </value>
        </values>
      </ddeItem>
      <ddeItem name="ALSO3.VarMes" advise="1">
        <values cols="2">
          <value>
            <val>7</val>
          </value>
          <value>
            <val>76</val>
          </value>
        </values>
      </ddeItem>
      <ddeItem name="ALSO3.VarPer" advise="1">
        <values cols="2">
          <value>
            <val>-1</val>
          </value>
          <value>
            <val>78</val>
          </value>
        </values>
      </ddeItem>
      <ddeItem name="ALSO3.VarSem" advise="1">
        <values cols="2">
          <value>
            <val>-1</val>
          </value>
          <value>
            <val>78</val>
          </value>
        </values>
      </ddeItem>
      <ddeItem name="ALSO3.Vol" advise="1">
        <values>
          <value>
            <val>28470483</val>
          </value>
        </values>
      </ddeItem>
      <ddeItem name="AMAR3.Desc" advise="1">
        <values>
          <value t="str">
            <val>LOJAS MARISAON NM</val>
          </value>
        </values>
      </ddeItem>
      <ddeItem name="AMAR3.Estado" advise="1">
        <values>
          <value t="str">
            <val>Normal</val>
          </value>
        </values>
      </ddeItem>
      <ddeItem name="AMAR3.Exerc" advise="1">
        <values>
          <value>
            <val>0</val>
          </value>
        </values>
      </ddeItem>
      <ddeItem name="AMAR3.Expir" advise="1">
        <values>
          <value t="nil">
            <val>1</val>
          </value>
        </values>
      </ddeItem>
      <ddeItem name="AMAR3.Fech" advise="1">
        <values cols="2">
          <value>
            <val>2</val>
          </value>
          <value>
            <val>49</val>
          </value>
        </values>
      </ddeItem>
      <ddeItem name="AMAR3.Hora" advise="1">
        <values>
          <value>
            <val>0.74945601851851851</val>
          </value>
        </values>
      </ddeItem>
      <ddeItem name="AMAR3.IbovParticip" advise="1">
        <values>
          <value>
            <val>0</val>
          </value>
        </values>
      </ddeItem>
      <ddeItem name="AMAR3.PreTeo" advise="1">
        <values>
          <value>
            <val>0</val>
          </value>
        </values>
      </ddeItem>
      <ddeItem name="AMAR3.QtdNeg" advise="1">
        <values>
          <value>
            <val>3210</val>
          </value>
        </values>
      </ddeItem>
      <ddeItem name="AMAR3.Ult" advise="1">
        <values cols="2">
          <value>
            <val>2</val>
          </value>
          <value>
            <val>48</val>
          </value>
        </values>
      </ddeItem>
      <ddeItem name="AMAR3.Var12M" advise="1">
        <values cols="2">
          <value>
            <val>-62</val>
          </value>
          <value>
            <val>36</val>
          </value>
        </values>
      </ddeItem>
      <ddeItem name="AMAR3.VarAnual" advise="1">
        <values cols="2">
          <value>
            <val>-34</val>
          </value>
          <value>
            <val>73</val>
          </value>
        </values>
      </ddeItem>
      <ddeItem name="AMAR3.VarMes" advise="1">
        <values cols="2">
          <value>
            <val>13</val>
          </value>
          <value>
            <val>24</val>
          </value>
        </values>
      </ddeItem>
      <ddeItem name="AMAR3.VarPer" advise="1">
        <values cols="2">
          <value>
            <val>0</val>
          </value>
          <value>
            <val>4</val>
          </value>
        </values>
      </ddeItem>
      <ddeItem name="AMAR3.VarSem" advise="1">
        <values cols="2">
          <value>
            <val>0</val>
          </value>
          <value>
            <val>4</val>
          </value>
        </values>
      </ddeItem>
      <ddeItem name="AMAR3.Vol" advise="1">
        <values>
          <value>
            <val>8811853</val>
          </value>
        </values>
      </ddeItem>
      <ddeItem name="AMER3.Desc" advise="1">
        <values>
          <value t="str">
            <val>AMERICANAS ON NM</val>
          </value>
        </values>
      </ddeItem>
      <ddeItem name="AMER3.Estado" advise="1">
        <values>
          <value t="str">
            <val>Normal</val>
          </value>
        </values>
      </ddeItem>
      <ddeItem name="AMER3.Exerc" advise="1">
        <values>
          <value>
            <val>0</val>
          </value>
        </values>
      </ddeItem>
      <ddeItem name="AMER3.Expir" advise="1">
        <values>
          <value t="nil">
            <val>1</val>
          </value>
        </values>
      </ddeItem>
      <ddeItem name="AMER3.Fech" advise="1">
        <values cols="2">
          <value>
            <val>13</val>
          </value>
          <value>
            <val>3</val>
          </value>
        </values>
      </ddeItem>
      <ddeItem name="AMER3.Hora" advise="1">
        <values>
          <value>
            <val>0.74958333333333327</val>
          </value>
        </values>
      </ddeItem>
      <ddeItem name="AMER3.IbovParticip" advise="1">
        <values cols="2">
          <value>
            <val>0</val>
          </value>
          <value>
            <val>3873</val>
          </value>
        </values>
      </ddeItem>
      <ddeItem name="AMER3.PreTeo" advise="1">
        <values>
          <value>
            <val>0</val>
          </value>
        </values>
      </ddeItem>
      <ddeItem name="AMER3.QtdNeg" advise="1">
        <values>
          <value>
            <val>75214</val>
          </value>
        </values>
      </ddeItem>
      <ddeItem name="AMER3.Ult" advise="1">
        <values cols="2">
          <value>
            <val>15</val>
          </value>
          <value>
            <val>97</val>
          </value>
        </values>
      </ddeItem>
      <ddeItem name="AMER3.Var12M" advise="1">
        <values cols="2">
          <value>
            <val>-60</val>
          </value>
          <value>
            <val>32</val>
          </value>
        </values>
      </ddeItem>
      <ddeItem name="AMER3.VarAnual" advise="1">
        <values cols="2">
          <value>
            <val>-48</val>
          </value>
          <value>
            <val>56</val>
          </value>
        </values>
      </ddeItem>
      <ddeItem name="AMER3.VarMes" advise="1">
        <values cols="2">
          <value>
            <val>14</val>
          </value>
          <value>
            <val>7</val>
          </value>
        </values>
      </ddeItem>
      <ddeItem name="AMER3.VarPer" advise="1">
        <values cols="2">
          <value>
            <val>22</val>
          </value>
          <value>
            <val>56</val>
          </value>
        </values>
      </ddeItem>
      <ddeItem name="AMER3.VarSem" advise="1">
        <values cols="2">
          <value>
            <val>22</val>
          </value>
          <value>
            <val>65</val>
          </value>
        </values>
      </ddeItem>
      <ddeItem name="AMER3.Vol" advise="1">
        <values>
          <value>
            <val>1091322739</val>
          </value>
        </values>
      </ddeItem>
      <ddeItem name="AMZO34.Desc" advise="1">
        <values>
          <value t="str">
            <val>AMAZON DRN</val>
          </value>
        </values>
      </ddeItem>
      <ddeItem name="AMZO34.Estado" advise="1">
        <values>
          <value t="str">
            <val>Normal</val>
          </value>
        </values>
      </ddeItem>
      <ddeItem name="AMZO34.Exerc" advise="1">
        <values>
          <value>
            <val>0</val>
          </value>
        </values>
      </ddeItem>
      <ddeItem name="AMZO34.Expir" advise="1">
        <values>
          <value t="nil">
            <val>1</val>
          </value>
        </values>
      </ddeItem>
      <ddeItem name="AMZO34.Fech" advise="1">
        <values cols="2">
          <value>
            <val>35</val>
          </value>
          <value>
            <val>65</val>
          </value>
        </values>
      </ddeItem>
      <ddeItem name="AMZO34.Hora" advise="1">
        <values>
          <value>
            <val>0.7474884259259259</val>
          </value>
        </values>
      </ddeItem>
      <ddeItem name="AMZO34.IbovParticip" advise="1">
        <values>
          <value>
            <val>0</val>
          </value>
        </values>
      </ddeItem>
      <ddeItem name="AMZO34.PreTeo" advise="1">
        <values>
          <value>
            <val>0</val>
          </value>
        </values>
      </ddeItem>
      <ddeItem name="AMZO34.QtdNeg" advise="1">
        <values>
          <value>
            <val>1898</val>
          </value>
        </values>
      </ddeItem>
      <ddeItem name="AMZO34.Ult" advise="1">
        <values cols="2">
          <value>
            <val>34</val>
          </value>
          <value>
            <val>4</val>
          </value>
        </values>
      </ddeItem>
      <ddeItem name="AMZO34.Var12M" advise="1">
        <values cols="2">
          <value>
            <val>-20</val>
          </value>
          <value>
            <val>14</val>
          </value>
        </values>
      </ddeItem>
      <ddeItem name="AMZO34.VarAnual" advise="1">
        <values cols="2">
          <value>
            <val>-26</val>
          </value>
          <value>
            <val>62</val>
          </value>
        </values>
      </ddeItem>
      <ddeItem name="AMZO34.VarMes" advise="1">
        <values cols="2">
          <value>
            <val>-2</val>
          </value>
          <value>
            <val>16</val>
          </value>
        </values>
      </ddeItem>
      <ddeItem name="AMZO34.VarPer" advise="1">
        <values cols="2">
          <value>
            <val>-3</val>
          </value>
          <value>
            <val>5</val>
          </value>
        </values>
      </ddeItem>
      <ddeItem name="AMZO34.VarSem" advise="1">
        <values cols="2">
          <value>
            <val>-3</val>
          </value>
          <value>
            <val>5</val>
          </value>
        </values>
      </ddeItem>
      <ddeItem name="AMZO34.Vol" advise="1">
        <values>
          <value>
            <val>22650781</val>
          </value>
        </values>
      </ddeItem>
      <ddeItem name="ANIM3.Desc" advise="1">
        <values>
          <value t="str">
            <val>ANIMA ON NM</val>
          </value>
        </values>
      </ddeItem>
      <ddeItem name="ANIM3.Estado" advise="1">
        <values>
          <value t="str">
            <val>Normal</val>
          </value>
        </values>
      </ddeItem>
      <ddeItem name="ANIM3.Exerc" advise="1">
        <values>
          <value>
            <val>0</val>
          </value>
        </values>
      </ddeItem>
      <ddeItem name="ANIM3.Expir" advise="1">
        <values>
          <value t="nil">
            <val>1</val>
          </value>
        </values>
      </ddeItem>
      <ddeItem name="ANIM3.Fech" advise="1">
        <values cols="2">
          <value>
            <val>4</val>
          </value>
          <value>
            <val>61</val>
          </value>
        </values>
      </ddeItem>
      <ddeItem name="ANIM3.Hora" advise="1">
        <values>
          <value>
            <val>0.74964120370370368</val>
          </value>
        </values>
      </ddeItem>
      <ddeItem name="ANIM3.IbovParticip" advise="1">
        <values>
          <value>
            <val>0</val>
          </value>
        </values>
      </ddeItem>
      <ddeItem name="ANIM3.PreTeo" advise="1">
        <values>
          <value>
            <val>0</val>
          </value>
        </values>
      </ddeItem>
      <ddeItem name="ANIM3.QtdNeg" advise="1">
        <values>
          <value>
            <val>11681</val>
          </value>
        </values>
      </ddeItem>
      <ddeItem name="ANIM3.Ult" advise="1">
        <values cols="2">
          <value>
            <val>4</val>
          </value>
          <value>
            <val>41</val>
          </value>
        </values>
      </ddeItem>
      <ddeItem name="ANIM3.Var12M" advise="1">
        <values cols="2">
          <value>
            <val>-56</val>
          </value>
          <value>
            <val>63</val>
          </value>
        </values>
      </ddeItem>
      <ddeItem name="ANIM3.VarAnual" advise="1">
        <values cols="2">
          <value>
            <val>-47</val>
          </value>
          <value>
            <val>5</val>
          </value>
        </values>
      </ddeItem>
      <ddeItem name="ANIM3.VarMes" advise="1">
        <values cols="2">
          <value>
            <val>-1</val>
          </value>
          <value>
            <val>56</val>
          </value>
        </values>
      </ddeItem>
      <ddeItem name="ANIM3.VarPer" advise="1">
        <values cols="2">
          <value>
            <val>-4</val>
          </value>
          <value>
            <val>33</val>
          </value>
        </values>
      </ddeItem>
      <ddeItem name="ANIM3.VarSem" advise="1">
        <values cols="2">
          <value>
            <val>-4</val>
          </value>
          <value>
            <val>33</val>
          </value>
        </values>
      </ddeItem>
      <ddeItem name="ANIM3.Vol" advise="1">
        <values>
          <value>
            <val>26015716</val>
          </value>
        </values>
      </ddeItem>
      <ddeItem name="ASAI3.Desc" advise="1">
        <values>
          <value t="str">
            <val>ASSAI ON NM</val>
          </value>
        </values>
      </ddeItem>
      <ddeItem name="ASAI3.Estado" advise="1">
        <values>
          <value t="str">
            <val>Normal</val>
          </value>
        </values>
      </ddeItem>
      <ddeItem name="ASAI3.Exerc" advise="1">
        <values>
          <value>
            <val>0</val>
          </value>
        </values>
      </ddeItem>
      <ddeItem name="ASAI3.Expir" advise="1">
        <values>
          <value t="nil">
            <val>1</val>
          </value>
        </values>
      </ddeItem>
      <ddeItem name="ASAI3.Fech" advise="1">
        <values cols="2">
          <value>
            <val>17</val>
          </value>
          <value>
            <val>78</val>
          </value>
        </values>
      </ddeItem>
      <ddeItem name="ASAI3.Hora" advise="1">
        <values>
          <value>
            <val>0.74315972222222226</val>
          </value>
        </values>
      </ddeItem>
      <ddeItem name="ASAI3.IbovParticip" advise="1">
        <values cols="2">
          <value>
            <val>0</val>
          </value>
          <value>
            <val>7036</val>
          </value>
        </values>
      </ddeItem>
      <ddeItem name="ASAI3.PreTeo" advise="1">
        <values>
          <value>
            <val>0</val>
          </value>
        </values>
      </ddeItem>
      <ddeItem name="ASAI3.QtdNeg" advise="1">
        <values>
          <value>
            <val>19605</val>
          </value>
        </values>
      </ddeItem>
      <ddeItem name="ASAI3.Ult" advise="1">
        <values cols="2">
          <value>
            <val>18</val>
          </value>
          <value>
            <val>4</val>
          </value>
        </values>
      </ddeItem>
      <ddeItem name="ASAI3.Var12M" advise="1">
        <values cols="2">
          <value>
            <val>2</val>
          </value>
          <value>
            <val>5</val>
          </value>
        </values>
      </ddeItem>
      <ddeItem name="ASAI3.VarAnual" advise="1">
        <values cols="2">
          <value>
            <val>40</val>
          </value>
          <value>
            <val>38</val>
          </value>
        </values>
      </ddeItem>
      <ddeItem name="ASAI3.VarMes" advise="1">
        <values cols="2">
          <value>
            <val>13</val>
          </value>
          <value>
            <val>81</val>
          </value>
        </values>
      </ddeItem>
      <ddeItem name="ASAI3.VarPer" advise="1">
        <values cols="2">
          <value>
            <val>1</val>
          </value>
          <value>
            <val>46</val>
          </value>
        </values>
      </ddeItem>
      <ddeItem name="ASAI3.VarSem" advise="1">
        <values cols="2">
          <value>
            <val>1</val>
          </value>
          <value>
            <val>46</val>
          </value>
        </values>
      </ddeItem>
      <ddeItem name="ASAI3.Vol" advise="1">
        <values>
          <value>
            <val>178805682</val>
          </value>
        </values>
      </ddeItem>
      <ddeItem name="AZUL4.Desc" advise="1">
        <values>
          <value t="str">
            <val>AZUL PN N2</val>
          </value>
        </values>
      </ddeItem>
      <ddeItem name="AZUL4.Estado" advise="1">
        <values>
          <value t="str">
            <val>Normal</val>
          </value>
        </values>
      </ddeItem>
      <ddeItem name="AZUL4.Exerc" advise="1">
        <values>
          <value>
            <val>0</val>
          </value>
        </values>
      </ddeItem>
      <ddeItem name="AZUL4.Expir" advise="1">
        <values>
          <value t="nil">
            <val>1</val>
          </value>
        </values>
      </ddeItem>
      <ddeItem name="AZUL4.Fech" advise="1">
        <values cols="2">
          <value>
            <val>15</val>
          </value>
          <value>
            <val>99</val>
          </value>
        </values>
      </ddeItem>
      <ddeItem name="AZUL4.Hora" advise="1">
        <values>
          <value>
            <val>0.7496990740740741</val>
          </value>
        </values>
      </ddeItem>
      <ddeItem name="AZUL4.IbovParticip" advise="1">
        <values cols="2">
          <value>
            <val>0</val>
          </value>
          <value>
            <val>261</val>
          </value>
        </values>
      </ddeItem>
      <ddeItem name="AZUL4.PreTeo" advise="1">
        <values>
          <value>
            <val>0</val>
          </value>
        </values>
      </ddeItem>
      <ddeItem name="AZUL4.QtdNeg" advise="1">
        <values>
          <value>
            <val>14520</val>
          </value>
        </values>
      </ddeItem>
      <ddeItem name="AZUL4.Ult" advise="1">
        <values cols="2">
          <value>
            <val>15</val>
          </value>
          <value>
            <val>64</val>
          </value>
        </values>
      </ddeItem>
      <ddeItem name="AZUL4.Var12M" advise="1">
        <values cols="2">
          <value>
            <val>-56</val>
          </value>
          <value>
            <val>71</val>
          </value>
        </values>
      </ddeItem>
      <ddeItem name="AZUL4.VarAnual" advise="1">
        <values cols="2">
          <value>
            <val>-35</val>
          </value>
          <value>
            <val>79</val>
          </value>
        </values>
      </ddeItem>
      <ddeItem name="AZUL4.VarMes" advise="1">
        <values cols="2">
          <value>
            <val>33</val>
          </value>
          <value>
            <val>33</val>
          </value>
        </values>
      </ddeItem>
      <ddeItem name="AZUL4.VarPer" advise="1">
        <values cols="2">
          <value>
            <val>-2</val>
          </value>
          <value>
            <val>18</val>
          </value>
        </values>
      </ddeItem>
      <ddeItem name="AZUL4.VarSem" advise="1">
        <values cols="2">
          <value>
            <val>-2</val>
          </value>
          <value>
            <val>18</val>
          </value>
        </values>
      </ddeItem>
      <ddeItem name="AZUL4.Vol" advise="1">
        <values>
          <value>
            <val>99985287</val>
          </value>
        </values>
      </ddeItem>
      <ddeItem name="B3SA3.Desc" advise="1">
        <values>
          <value t="str">
            <val>B3 ON NM</val>
          </value>
        </values>
      </ddeItem>
      <ddeItem name="B3SA3.Estado" advise="1">
        <values>
          <value t="str">
            <val>Normal</val>
          </value>
        </values>
      </ddeItem>
      <ddeItem name="B3SA3.Exerc" advise="1">
        <values>
          <value>
            <val>0</val>
          </value>
        </values>
      </ddeItem>
      <ddeItem name="B3SA3.Expir" advise="1">
        <values>
          <value t="nil">
            <val>1</val>
          </value>
        </values>
      </ddeItem>
      <ddeItem name="B3SA3.Fech" advise="1">
        <values cols="2">
          <value>
            <val>12</val>
          </value>
          <value>
            <val>51</val>
          </value>
        </values>
      </ddeItem>
      <ddeItem name="B3SA3.Hora" advise="1">
        <values>
          <value>
            <val>0.74995370370370373</val>
          </value>
        </values>
      </ddeItem>
      <ddeItem name="B3SA3.IbovParticip" advise="1">
        <values cols="2">
          <value>
            <val>3</val>
          </value>
          <value>
            <val>7305</val>
          </value>
        </values>
      </ddeItem>
      <ddeItem name="B3SA3.PreTeo" advise="1">
        <values>
          <value>
            <val>0</val>
          </value>
        </values>
      </ddeItem>
      <ddeItem name="B3SA3.QtdNeg" advise="1">
        <values>
          <value>
            <val>42045</val>
          </value>
        </values>
      </ddeItem>
      <ddeItem name="B3SA3.Ult" advise="1">
        <values cols="2">
          <value>
            <val>12</val>
          </value>
          <value>
            <val>3</val>
          </value>
        </values>
      </ddeItem>
      <ddeItem name="B3SA3.Var12M" advise="1">
        <values cols="2">
          <value>
            <val>-8</val>
          </value>
          <value>
            <val>55</val>
          </value>
        </values>
      </ddeItem>
      <ddeItem name="B3SA3.VarAnual" advise="1">
        <values cols="2">
          <value>
            <val>13</val>
          </value>
          <value>
            <val>36</val>
          </value>
        </values>
      </ddeItem>
      <ddeItem name="B3SA3.VarMes" advise="1">
        <values cols="2">
          <value>
            <val>10</val>
          </value>
          <value>
            <val>91</val>
          </value>
        </values>
      </ddeItem>
      <ddeItem name="B3SA3.VarPer" advise="1">
        <values cols="2">
          <value>
            <val>-1</val>
          </value>
          <value>
            <val>67</val>
          </value>
        </values>
      </ddeItem>
      <ddeItem name="B3SA3.VarSem" advise="1">
        <values cols="2">
          <value>
            <val>-1</val>
          </value>
          <value>
            <val>67</val>
          </value>
        </values>
      </ddeItem>
      <ddeItem name="B3SA3.Vol" advise="1">
        <values>
          <value>
            <val>357962404</val>
          </value>
        </values>
      </ddeItem>
      <ddeItem name="BBAS3.Desc" advise="1">
        <values>
          <value t="str">
            <val>BRASIL ON NM</val>
          </value>
        </values>
      </ddeItem>
      <ddeItem name="BBAS3.Estado" advise="1">
        <values>
          <value t="str">
            <val>Normal</val>
          </value>
        </values>
      </ddeItem>
      <ddeItem name="BBAS3.Exerc" advise="1">
        <values>
          <value>
            <val>0</val>
          </value>
        </values>
      </ddeItem>
      <ddeItem name="BBAS3.Expir" advise="1">
        <values>
          <value t="nil">
            <val>1</val>
          </value>
        </values>
      </ddeItem>
      <ddeItem name="BBAS3.Fech" advise="1">
        <values cols="2">
          <value>
            <val>41</val>
          </value>
          <value>
            <val>5</val>
          </value>
        </values>
      </ddeItem>
      <ddeItem name="BBAS3.Hora" advise="1">
        <values>
          <value>
            <val>0.74998842592592585</val>
          </value>
        </values>
      </ddeItem>
      <ddeItem name="BBAS3.IbovParticip" advise="1">
        <values cols="2">
          <value>
            <val>2</val>
          </value>
          <value>
            <val>9041</val>
          </value>
        </values>
      </ddeItem>
      <ddeItem name="BBAS3.PreTeo" advise="1">
        <values>
          <value>
            <val>0</val>
          </value>
        </values>
      </ddeItem>
      <ddeItem name="BBAS3.QtdNeg" advise="1">
        <values>
          <value>
            <val>46902</val>
          </value>
        </values>
      </ddeItem>
      <ddeItem name="BBAS3.Ult" advise="1">
        <values cols="2">
          <value>
            <val>41</val>
          </value>
          <value>
            <val>37</val>
          </value>
        </values>
      </ddeItem>
      <ddeItem name="BBAS3.Var12M" advise="1">
        <values cols="2">
          <value>
            <val>50</val>
          </value>
          <value>
            <val>87</val>
          </value>
        </values>
      </ddeItem>
      <ddeItem name="BBAS3.VarAnual" advise="1">
        <values cols="2">
          <value>
            <val>50</val>
          </value>
          <value>
            <val>54</val>
          </value>
        </values>
      </ddeItem>
      <ddeItem name="BBAS3.VarMes" advise="1">
        <values cols="2">
          <value>
            <val>15</val>
          </value>
          <value>
            <val>1</val>
          </value>
        </values>
      </ddeItem>
      <ddeItem name="BBAS3.VarPer" advise="1">
        <values cols="2">
          <value>
            <val>0</val>
          </value>
          <value>
            <val>77</val>
          </value>
        </values>
      </ddeItem>
      <ddeItem name="BBAS3.VarSem" advise="1">
        <values cols="2">
          <value>
            <val>0</val>
          </value>
          <value>
            <val>8</val>
          </value>
        </values>
      </ddeItem>
      <ddeItem name="BBAS3.Vol" advise="1">
        <values>
          <value>
            <val>1095860706</val>
          </value>
        </values>
      </ddeItem>
      <ddeItem name="BBASU382.Desc" advise="1">
        <values cols="2">
          <value t="str">
            <val>BBASE ON 38</val>
          </value>
          <value>
            <val>28</val>
          </value>
        </values>
      </ddeItem>
      <ddeItem name="BBASU382.Estado" advise="1">
        <values>
          <value t="str">
            <val>Normal</val>
          </value>
        </values>
      </ddeItem>
      <ddeItem name="BBASU382.Exerc" advise="1">
        <values cols="2">
          <value>
            <val>38</val>
          </value>
          <value>
            <val>28</val>
          </value>
        </values>
      </ddeItem>
      <ddeItem name="BBASU382.Expir" advise="1">
        <values>
          <value>
            <val>44820</val>
          </value>
        </values>
      </ddeItem>
      <ddeItem name="BBASU382.Fech" advise="1">
        <values cols="2">
          <value>
            <val>0</val>
          </value>
          <value>
            <val>69</val>
          </value>
        </values>
      </ddeItem>
      <ddeItem name="BBASU382.Hora" advise="1">
        <values>
          <value>
            <val>0.70483796296296297</val>
          </value>
        </values>
      </ddeItem>
      <ddeItem name="BBASU382.IbovParticip" advise="1">
        <values>
          <value>
            <val>0</val>
          </value>
        </values>
      </ddeItem>
      <ddeItem name="BBASU382.PreTeo" advise="1">
        <values>
          <value>
            <val>0</val>
          </value>
        </values>
      </ddeItem>
      <ddeItem name="BBASU382.QtdNeg" advise="1">
        <values>
          <value>
            <val>113</val>
          </value>
        </values>
      </ddeItem>
      <ddeItem name="BBASU382.Ult" advise="1">
        <values cols="2">
          <value>
            <val>0</val>
          </value>
          <value>
            <val>59</val>
          </value>
        </values>
      </ddeItem>
      <ddeItem name="BBASU382.Var12M" advise="1">
        <values cols="2">
          <value>
            <val>-92</val>
          </value>
          <value>
            <val>89</val>
          </value>
        </values>
      </ddeItem>
      <ddeItem name="BBASU382.VarAnual" advise="1">
        <values cols="2">
          <value>
            <val>0</val>
          </value>
          <value>
            <val>1</val>
          </value>
        </values>
      </ddeItem>
      <ddeItem name="BBASU382.VarMes" advise="1">
        <values cols="2">
          <value>
            <val>-72</val>
          </value>
          <value>
            <val>55</val>
          </value>
        </values>
      </ddeItem>
      <ddeItem name="BBASU382.VarPer" advise="1">
        <values cols="2">
          <value>
            <val>-14</val>
          </value>
          <value>
            <val>49</val>
          </value>
        </values>
      </ddeItem>
      <ddeItem name="BBASU382.VarSem" advise="1">
        <values cols="2">
          <value>
            <val>-14</val>
          </value>
          <value>
            <val>49</val>
          </value>
        </values>
      </ddeItem>
      <ddeItem name="BBASU382.Vol" advise="1">
        <values>
          <value>
            <val>196567</val>
          </value>
        </values>
      </ddeItem>
      <ddeItem name="BBDC3.Desc" advise="1">
        <values>
          <value t="str">
            <val>BRADESCO ON N1</val>
          </value>
        </values>
      </ddeItem>
      <ddeItem name="BBDC3.Estado" advise="1">
        <values>
          <value t="str">
            <val>Normal</val>
          </value>
        </values>
      </ddeItem>
      <ddeItem name="BBDC3.Exerc" advise="1">
        <values>
          <value>
            <val>0</val>
          </value>
        </values>
      </ddeItem>
      <ddeItem name="BBDC3.Expir" advise="1">
        <values>
          <value t="nil">
            <val>1</val>
          </value>
        </values>
      </ddeItem>
      <ddeItem name="BBDC3.Fech" advise="1">
        <values cols="2">
          <value>
            <val>16</val>
          </value>
          <value>
            <val>21</val>
          </value>
        </values>
      </ddeItem>
      <ddeItem name="BBDC3.Hora" advise="1">
        <values>
          <value>
            <val>0.74468749999999995</val>
          </value>
        </values>
      </ddeItem>
      <ddeItem name="BBDC3.IbovParticip" advise="1">
        <values cols="2">
          <value>
            <val>1</val>
          </value>
          <value>
            <val>2245</val>
          </value>
        </values>
      </ddeItem>
      <ddeItem name="BBDC3.PreTeo" advise="1">
        <values>
          <value>
            <val>0</val>
          </value>
        </values>
      </ddeItem>
      <ddeItem name="BBDC3.QtdNeg" advise="1">
        <values>
          <value>
            <val>8163</val>
          </value>
        </values>
      </ddeItem>
      <ddeItem name="BBDC3.Ult" advise="1">
        <values cols="2">
          <value>
            <val>16</val>
          </value>
          <value>
            <val>3</val>
          </value>
        </values>
      </ddeItem>
      <ddeItem name="BBDC3.Var12M" advise="1">
        <values cols="2">
          <value>
            <val>-6</val>
          </value>
          <value>
            <val>69</val>
          </value>
        </values>
      </ddeItem>
      <ddeItem name="BBDC3.VarAnual" advise="1">
        <values cols="2">
          <value>
            <val>10</val>
          </value>
          <value>
            <val>78</val>
          </value>
        </values>
      </ddeItem>
      <ddeItem name="BBDC3.VarMes" advise="1">
        <values cols="2">
          <value>
            <val>10</val>
          </value>
          <value>
            <val>93</val>
          </value>
        </values>
      </ddeItem>
      <ddeItem name="BBDC3.VarPer" advise="1">
        <values cols="2">
          <value>
            <val>-1</val>
          </value>
          <value>
            <val>11</val>
          </value>
        </values>
      </ddeItem>
      <ddeItem name="BBDC3.VarSem" advise="1">
        <values cols="2">
          <value>
            <val>-1</val>
          </value>
          <value>
            <val>4</val>
          </value>
        </values>
      </ddeItem>
      <ddeItem name="BBDC3.Vol" advise="1">
        <values>
          <value>
            <val>66423539</val>
          </value>
        </values>
      </ddeItem>
      <ddeItem name="BBDC4.Desc" advise="1">
        <values>
          <value t="str">
            <val>BRADESCO PN N1</val>
          </value>
        </values>
      </ddeItem>
      <ddeItem name="BBDC4.Estado" advise="1">
        <values>
          <value t="str">
            <val>Normal</val>
          </value>
        </values>
      </ddeItem>
      <ddeItem name="BBDC4.Exerc" advise="1">
        <values>
          <value>
            <val>0</val>
          </value>
        </values>
      </ddeItem>
      <ddeItem name="BBDC4.Expir" advise="1">
        <values>
          <value t="nil">
            <val>1</val>
          </value>
        </values>
      </ddeItem>
      <ddeItem name="BBDC4.Fech" advise="1">
        <values cols="2">
          <value>
            <val>19</val>
          </value>
          <value>
            <val>61</val>
          </value>
        </values>
      </ddeItem>
      <ddeItem name="BBDC4.Hora" advise="1">
        <values>
          <value>
            <val>0.74958333333333327</val>
          </value>
        </values>
      </ddeItem>
      <ddeItem name="BBDC4.IbovParticip" advise="1">
        <values cols="2">
          <value>
            <val>5</val>
          </value>
          <value>
            <val>4</val>
          </value>
        </values>
      </ddeItem>
      <ddeItem name="BBDC4.PreTeo" advise="1">
        <values>
          <value>
            <val>0</val>
          </value>
        </values>
      </ddeItem>
      <ddeItem name="BBDC4.QtdNeg" advise="1">
        <values>
          <value>
            <val>23316</val>
          </value>
        </values>
      </ddeItem>
      <ddeItem name="BBDC4.Ult" advise="1">
        <values cols="2">
          <value>
            <val>19</val>
          </value>
          <value>
            <val>4</val>
          </value>
        </values>
      </ddeItem>
      <ddeItem name="BBDC4.Var12M" advise="1">
        <values cols="2">
          <value>
            <val>-2</val>
          </value>
          <value>
            <val>7</val>
          </value>
        </values>
      </ddeItem>
      <ddeItem name="BBDC4.VarAnual" advise="1">
        <values cols="2">
          <value>
            <val>12</val>
          </value>
          <value>
            <val>85</val>
          </value>
        </values>
      </ddeItem>
      <ddeItem name="BBDC4.VarMes" advise="1">
        <values cols="2">
          <value>
            <val>11</val>
          </value>
          <value>
            <val>43</val>
          </value>
        </values>
      </ddeItem>
      <ddeItem name="BBDC4.VarPer" advise="1">
        <values cols="2">
          <value>
            <val>-1</val>
          </value>
          <value>
            <val>7</val>
          </value>
        </values>
      </ddeItem>
      <ddeItem name="BBDC4.VarSem" advise="1">
        <values cols="2">
          <value>
            <val>-1</val>
          </value>
          <value>
            <val>7</val>
          </value>
        </values>
      </ddeItem>
      <ddeItem name="BBDC4.Vol" advise="1">
        <values>
          <value>
            <val>301091176</val>
          </value>
        </values>
      </ddeItem>
      <ddeItem name="BBSE3.Desc" advise="1">
        <values>
          <value t="str">
            <val>BBSEGURIDADEON ED NM</val>
          </value>
        </values>
      </ddeItem>
      <ddeItem name="BBSE3.Estado" advise="1">
        <values>
          <value t="str">
            <val>Normal</val>
          </value>
        </values>
      </ddeItem>
      <ddeItem name="BBSE3.Exerc" advise="1">
        <values>
          <value>
            <val>0</val>
          </value>
        </values>
      </ddeItem>
      <ddeItem name="BBSE3.Expir" advise="1">
        <values>
          <value t="nil">
            <val>1</val>
          </value>
        </values>
      </ddeItem>
      <ddeItem name="BBSE3.Fech" advise="1">
        <values cols="2">
          <value>
            <val>28</val>
          </value>
          <value>
            <val>5</val>
          </value>
        </values>
      </ddeItem>
      <ddeItem name="BBSE3.Hora" advise="1">
        <values>
          <value>
            <val>0.74984953703703694</val>
          </value>
        </values>
      </ddeItem>
      <ddeItem name="BBSE3.IbovParticip" advise="1">
        <values cols="2">
          <value>
            <val>0</val>
          </value>
          <value>
            <val>9533</val>
          </value>
        </values>
      </ddeItem>
      <ddeItem name="BBSE3.PreTeo" advise="1">
        <values>
          <value>
            <val>0</val>
          </value>
        </values>
      </ddeItem>
      <ddeItem name="BBSE3.QtdNeg" advise="1">
        <values>
          <value>
            <val>9651</val>
          </value>
        </values>
      </ddeItem>
      <ddeItem name="BBSE3.Ult" advise="1">
        <values cols="2">
          <value>
            <val>28</val>
          </value>
          <value>
            <val>55</val>
          </value>
        </values>
      </ddeItem>
      <ddeItem name="BBSE3.Var12M" advise="1">
        <values cols="2">
          <value>
            <val>54</val>
          </value>
          <value>
            <val>74</val>
          </value>
        </values>
      </ddeItem>
      <ddeItem name="BBSE3.VarAnual" advise="1">
        <values cols="2">
          <value>
            <val>48</val>
          </value>
          <value>
            <val>15</val>
          </value>
        </values>
      </ddeItem>
      <ddeItem name="BBSE3.VarMes" advise="1">
        <values>
          <value>
            <val>2</val>
          </value>
        </values>
      </ddeItem>
      <ddeItem name="BBSE3.VarPer" advise="1">
        <values cols="2">
          <value>
            <val>0</val>
          </value>
          <value>
            <val>17</val>
          </value>
        </values>
      </ddeItem>
      <ddeItem name="BBSE3.VarSem" advise="1">
        <values cols="2">
          <value>
            <val>0</val>
          </value>
          <value>
            <val>17</val>
          </value>
        </values>
      </ddeItem>
      <ddeItem name="BBSE3.Vol" advise="1">
        <values>
          <value>
            <val>79297509</val>
          </value>
        </values>
      </ddeItem>
      <ddeItem name="BEEF3.Desc" advise="1">
        <values>
          <value t="str">
            <val>MINERVA ON ED NM</val>
          </value>
        </values>
      </ddeItem>
      <ddeItem name="BEEF3.Estado" advise="1">
        <values>
          <value t="str">
            <val>Normal</val>
          </value>
        </values>
      </ddeItem>
      <ddeItem name="BEEF3.Exerc" advise="1">
        <values>
          <value>
            <val>0</val>
          </value>
        </values>
      </ddeItem>
      <ddeItem name="BEEF3.Expir" advise="1">
        <values>
          <value t="nil">
            <val>1</val>
          </value>
        </values>
      </ddeItem>
      <ddeItem name="BEEF3.Fech" advise="1">
        <values cols="2">
          <value>
            <val>14</val>
          </value>
          <value>
            <val>88</val>
          </value>
        </values>
      </ddeItem>
      <ddeItem name="BEEF3.Hora" advise="1">
        <values>
          <value>
            <val>0.74987268518518524</val>
          </value>
        </values>
      </ddeItem>
      <ddeItem name="BEEF3.IbovParticip" advise="1">
        <values cols="2">
          <value>
            <val>0</val>
          </value>
          <value>
            <val>193</val>
          </value>
        </values>
      </ddeItem>
      <ddeItem name="BEEF3.PreTeo" advise="1">
        <values>
          <value>
            <val>0</val>
          </value>
        </values>
      </ddeItem>
      <ddeItem name="BEEF3.QtdNeg" advise="1">
        <values>
          <value>
            <val>15566</val>
          </value>
        </values>
      </ddeItem>
      <ddeItem name="BEEF3.Ult" advise="1">
        <values cols="2">
          <value>
            <val>14</val>
          </value>
          <value>
            <val>48</val>
          </value>
        </values>
      </ddeItem>
      <ddeItem name="BEEF3.Var12M" advise="1">
        <values cols="2">
          <value>
            <val>87</val>
          </value>
          <value>
            <val>8</val>
          </value>
        </values>
      </ddeItem>
      <ddeItem name="BEEF3.VarAnual" advise="1">
        <values cols="2">
          <value>
            <val>42</val>
          </value>
          <value>
            <val>37</val>
          </value>
        </values>
      </ddeItem>
      <ddeItem name="BEEF3.VarMes" advise="1">
        <values cols="2">
          <value>
            <val>12</val>
          </value>
          <value>
            <val>24</val>
          </value>
        </values>
      </ddeItem>
      <ddeItem name="BEEF3.VarPer" advise="1">
        <values cols="2">
          <value>
            <val>-2</val>
          </value>
          <value>
            <val>68</val>
          </value>
        </values>
      </ddeItem>
      <ddeItem name="BEEF3.VarSem" advise="1">
        <values cols="2">
          <value>
            <val>-2</val>
          </value>
          <value>
            <val>68</val>
          </value>
        </values>
      </ddeItem>
      <ddeItem name="BEEF3.Vol" advise="1">
        <values>
          <value>
            <val>98722019</val>
          </value>
        </values>
      </ddeItem>
      <ddeItem name="BMGB4.Desc" advise="1">
        <values>
          <value t="str">
            <val>BANCO BMG PN N1</val>
          </value>
        </values>
      </ddeItem>
      <ddeItem name="BMGB4.Estado" advise="1">
        <values>
          <value t="str">
            <val>Normal</val>
          </value>
        </values>
      </ddeItem>
      <ddeItem name="BMGB4.Exerc" advise="1">
        <values>
          <value>
            <val>0</val>
          </value>
        </values>
      </ddeItem>
      <ddeItem name="BMGB4.Expir" advise="1">
        <values>
          <value t="nil">
            <val>1</val>
          </value>
        </values>
      </ddeItem>
      <ddeItem name="BMGB4.Fech" advise="1">
        <values cols="2">
          <value>
            <val>2</val>
          </value>
          <value>
            <val>58</val>
          </value>
        </values>
      </ddeItem>
      <ddeItem name="BMGB4.Hora" advise="1">
        <values>
          <value>
            <val>0.74997685185185192</val>
          </value>
        </values>
      </ddeItem>
      <ddeItem name="BMGB4.IbovParticip" advise="1">
        <values>
          <value>
            <val>0</val>
          </value>
        </values>
      </ddeItem>
      <ddeItem name="BMGB4.PreTeo" advise="1">
        <values>
          <value>
            <val>0</val>
          </value>
        </values>
      </ddeItem>
      <ddeItem name="BMGB4.QtdNeg" advise="1">
        <values>
          <value>
            <val>2137</val>
          </value>
        </values>
      </ddeItem>
      <ddeItem name="BMGB4.Ult" advise="1">
        <values cols="2">
          <value>
            <val>2</val>
          </value>
          <value>
            <val>6</val>
          </value>
        </values>
      </ddeItem>
      <ddeItem name="BMGB4.Var12M" advise="1">
        <values cols="2">
          <value>
            <val>-28</val>
          </value>
          <value>
            <val>76</val>
          </value>
        </values>
      </ddeItem>
      <ddeItem name="BMGB4.VarAnual" advise="1">
        <values cols="2">
          <value>
            <val>-16</val>
          </value>
          <value>
            <val>66</val>
          </value>
        </values>
      </ddeItem>
      <ddeItem name="BMGB4.VarMes" advise="1">
        <values cols="2">
          <value>
            <val>5</val>
          </value>
          <value>
            <val>26</val>
          </value>
        </values>
      </ddeItem>
      <ddeItem name="BMGB4.VarPer" advise="1">
        <values cols="2">
          <value>
            <val>0</val>
          </value>
          <value>
            <val>77</val>
          </value>
        </values>
      </ddeItem>
      <ddeItem name="BMGB4.VarSem" advise="1">
        <values cols="2">
          <value>
            <val>0</val>
          </value>
          <value>
            <val>77</val>
          </value>
        </values>
      </ddeItem>
      <ddeItem name="BMGB4.Vol" advise="1">
        <values>
          <value>
            <val>2487555</val>
          </value>
        </values>
      </ddeItem>
      <ddeItem name="BPAC11.Desc" advise="1">
        <values>
          <value t="str">
            <val>BTGP BANCO UNT N2</val>
          </value>
        </values>
      </ddeItem>
      <ddeItem name="BPAC11.Estado" advise="1">
        <values>
          <value t="str">
            <val>Normal</val>
          </value>
        </values>
      </ddeItem>
      <ddeItem name="BPAC11.Exerc" advise="1">
        <values>
          <value>
            <val>0</val>
          </value>
        </values>
      </ddeItem>
      <ddeItem name="BPAC11.Expir" advise="1">
        <values>
          <value t="nil">
            <val>1</val>
          </value>
        </values>
      </ddeItem>
      <ddeItem name="BPAC11.Fech" advise="1">
        <values cols="2">
          <value>
            <val>25</val>
          </value>
          <value>
            <val>84</val>
          </value>
        </values>
      </ddeItem>
      <ddeItem name="BPAC11.Hora" advise="1">
        <values>
          <value>
            <val>0.74805555555555558</val>
          </value>
        </values>
      </ddeItem>
      <ddeItem name="BPAC11.IbovParticip" advise="1">
        <values cols="2">
          <value>
            <val>1</val>
          </value>
          <value>
            <val>6751</val>
          </value>
        </values>
      </ddeItem>
      <ddeItem name="BPAC11.PreTeo" advise="1">
        <values>
          <value>
            <val>0</val>
          </value>
        </values>
      </ddeItem>
      <ddeItem name="BPAC11.QtdNeg" advise="1">
        <values>
          <value>
            <val>16098</val>
          </value>
        </values>
      </ddeItem>
      <ddeItem name="BPAC11.Ult" advise="1">
        <values cols="2">
          <value>
            <val>25</val>
          </value>
          <value>
            <val>44</val>
          </value>
        </values>
      </ddeItem>
      <ddeItem name="BPAC11.Var12M" advise="1">
        <values cols="2">
          <value>
            <val>-8</val>
          </value>
          <value>
            <val>35</val>
          </value>
        </values>
      </ddeItem>
      <ddeItem name="BPAC11.VarAnual" advise="1">
        <values cols="2">
          <value>
            <val>23</val>
          </value>
          <value>
            <val>31</val>
          </value>
        </values>
      </ddeItem>
      <ddeItem name="BPAC11.VarMes" advise="1">
        <values cols="2">
          <value>
            <val>14</val>
          </value>
          <value>
            <val>18</val>
          </value>
        </values>
      </ddeItem>
      <ddeItem name="BPAC11.VarPer" advise="1">
        <values cols="2">
          <value>
            <val>-1</val>
          </value>
          <value>
            <val>54</val>
          </value>
        </values>
      </ddeItem>
      <ddeItem name="BPAC11.VarSem" advise="1">
        <values cols="2">
          <value>
            <val>-1</val>
          </value>
          <value>
            <val>54</val>
          </value>
        </values>
      </ddeItem>
      <ddeItem name="BPAC11.Vol" advise="1">
        <values>
          <value>
            <val>148186175</val>
          </value>
        </values>
      </ddeItem>
      <ddeItem name="BPAN4.Desc" advise="1">
        <values>
          <value t="str">
            <val>BANCO PAN PN N1</val>
          </value>
        </values>
      </ddeItem>
      <ddeItem name="BPAN4.Estado" advise="1">
        <values>
          <value t="str">
            <val>Normal</val>
          </value>
        </values>
      </ddeItem>
      <ddeItem name="BPAN4.Exerc" advise="1">
        <values>
          <value>
            <val>0</val>
          </value>
        </values>
      </ddeItem>
      <ddeItem name="BPAN4.Expir" advise="1">
        <values>
          <value t="nil">
            <val>1</val>
          </value>
        </values>
      </ddeItem>
      <ddeItem name="BPAN4.Fech" advise="1">
        <values cols="2">
          <value>
            <val>6</val>
          </value>
          <value>
            <val>9</val>
          </value>
        </values>
      </ddeItem>
      <ddeItem name="BPAN4.Hora" advise="1">
        <values>
          <value>
            <val>0.74677083333333327</val>
          </value>
        </values>
      </ddeItem>
      <ddeItem name="BPAN4.IbovParticip" advise="1">
        <values cols="2">
          <value>
            <val>0</val>
          </value>
          <value>
            <val>1172</val>
          </value>
        </values>
      </ddeItem>
      <ddeItem name="BPAN4.PreTeo" advise="1">
        <values>
          <value>
            <val>0</val>
          </value>
        </values>
      </ddeItem>
      <ddeItem name="BPAN4.QtdNeg" advise="1">
        <values>
          <value>
            <val>7373</val>
          </value>
        </values>
      </ddeItem>
      <ddeItem name="BPAN4.Ult" advise="1">
        <values cols="2">
          <value>
            <val>6</val>
          </value>
          <value>
            <val>88</val>
          </value>
        </values>
      </ddeItem>
      <ddeItem name="BPAN4.Var12M" advise="1">
        <values cols="2">
          <value>
            <val>-63</val>
          </value>
          <value>
            <val>42</val>
          </value>
        </values>
      </ddeItem>
      <ddeItem name="BPAN4.VarAnual" advise="1">
        <values cols="2">
          <value>
            <val>-35</val>
          </value>
          <value>
            <val>33</val>
          </value>
        </values>
      </ddeItem>
      <ddeItem name="BPAN4.VarMes" advise="1">
        <values cols="2">
          <value>
            <val>3</val>
          </value>
          <value>
            <val>77</val>
          </value>
        </values>
      </ddeItem>
      <ddeItem name="BPAN4.VarPer" advise="1">
        <values cols="2">
          <value>
            <val>0</val>
          </value>
          <value>
            <val>28</val>
          </value>
        </values>
      </ddeItem>
      <ddeItem name="BPAN4.VarSem" advise="1">
        <values cols="2">
          <value>
            <val>0</val>
          </value>
          <value>
            <val>28</val>
          </value>
        </values>
      </ddeItem>
      <ddeItem name="BPAN4.Vol" advise="1">
        <values>
          <value>
            <val>27408392</val>
          </value>
        </values>
      </ddeItem>
      <ddeItem name="BRAP4.Desc" advise="1">
        <values>
          <value t="str">
            <val>BRADESPAR PN N1</val>
          </value>
        </values>
      </ddeItem>
      <ddeItem name="BRAP4.Estado" advise="1">
        <values>
          <value t="str">
            <val>Normal</val>
          </value>
        </values>
      </ddeItem>
      <ddeItem name="BRAP4.Exerc" advise="1">
        <values>
          <value>
            <val>0</val>
          </value>
        </values>
      </ddeItem>
      <ddeItem name="BRAP4.Expir" advise="1">
        <values>
          <value t="nil">
            <val>1</val>
          </value>
        </values>
      </ddeItem>
      <ddeItem name="BRAP4.Fech" advise="1">
        <values cols="2">
          <value>
            <val>22</val>
          </value>
          <value>
            <val>79</val>
          </value>
        </values>
      </ddeItem>
      <ddeItem name="BRAP4.Hora" advise="1">
        <values>
          <value>
            <val>0.74995370370370373</val>
          </value>
        </values>
      </ddeItem>
      <ddeItem name="BRAP4.IbovParticip" advise="1">
        <values cols="2">
          <value>
            <val>0</val>
          </value>
          <value>
            <val>2853</val>
          </value>
        </values>
      </ddeItem>
      <ddeItem name="BRAP4.PreTeo" advise="1">
        <values>
          <value>
            <val>0</val>
          </value>
        </values>
      </ddeItem>
      <ddeItem name="BRAP4.QtdNeg" advise="1">
        <values>
          <value>
            <val>4760</val>
          </value>
        </values>
      </ddeItem>
      <ddeItem name="BRAP4.Ult" advise="1">
        <values cols="2">
          <value>
            <val>22</val>
          </value>
          <value>
            <val>51</val>
          </value>
        </values>
      </ddeItem>
      <ddeItem name="BRAP4.Var12M" advise="1">
        <values cols="2">
          <value>
            <val>2</val>
          </value>
          <value>
            <val>69</val>
          </value>
        </values>
      </ddeItem>
      <ddeItem name="BRAP4.VarAnual" advise="1">
        <values cols="2">
          <value>
            <val>-4</val>
          </value>
          <value>
            <val>78</val>
          </value>
        </values>
      </ddeItem>
      <ddeItem name="BRAP4.VarMes" advise="1">
        <values cols="2">
          <value>
            <val>0</val>
          </value>
          <value>
            <val>13</val>
          </value>
        </values>
      </ddeItem>
      <ddeItem name="BRAP4.VarPer" advise="1">
        <values cols="2">
          <value>
            <val>-1</val>
          </value>
          <value>
            <val>22</val>
          </value>
        </values>
      </ddeItem>
      <ddeItem name="BRAP4.VarSem" advise="1">
        <values cols="2">
          <value>
            <val>-1</val>
          </value>
          <value>
            <val>22</val>
          </value>
        </values>
      </ddeItem>
      <ddeItem name="BRAP4.Vol" advise="1">
        <values>
          <value>
            <val>32430777</val>
          </value>
        </values>
      </ddeItem>
      <ddeItem name="BRFS3.Desc" advise="1">
        <values>
          <value t="str">
            <val>BRF SA ON NM</val>
          </value>
        </values>
      </ddeItem>
      <ddeItem name="BRFS3.Estado" advise="1">
        <values>
          <value t="str">
            <val>Normal</val>
          </value>
        </values>
      </ddeItem>
      <ddeItem name="BRFS3.Exerc" advise="1">
        <values>
          <value>
            <val>0</val>
          </value>
        </values>
      </ddeItem>
      <ddeItem name="BRFS3.Expir" advise="1">
        <values>
          <value t="nil">
            <val>1</val>
          </value>
        </values>
      </ddeItem>
      <ddeItem name="BRFS3.Fech" advise="1">
        <values cols="2">
          <value>
            <val>16</val>
          </value>
          <value>
            <val>41</val>
          </value>
        </values>
      </ddeItem>
      <ddeItem name="BRFS3.Hora" advise="1">
        <values>
          <value>
            <val>0.74982638888888886</val>
          </value>
        </values>
      </ddeItem>
      <ddeItem name="BRFS3.IbovParticip" advise="1">
        <values cols="2">
          <value>
            <val>0</val>
          </value>
          <value>
            <val>8798</val>
          </value>
        </values>
      </ddeItem>
      <ddeItem name="BRFS3.PreTeo" advise="1">
        <values>
          <value>
            <val>0</val>
          </value>
        </values>
      </ddeItem>
      <ddeItem name="BRFS3.QtdNeg" advise="1">
        <values>
          <value>
            <val>14667</val>
          </value>
        </values>
      </ddeItem>
      <ddeItem name="BRFS3.Ult" advise="1">
        <values cols="2">
          <value>
            <val>16</val>
          </value>
          <value>
            <val>3</val>
          </value>
        </values>
      </ddeItem>
      <ddeItem name="BRFS3.Var12M" advise="1">
        <values cols="2">
          <value>
            <val>-31</val>
          </value>
          <value>
            <val>36</val>
          </value>
        </values>
      </ddeItem>
      <ddeItem name="BRFS3.VarAnual" advise="1">
        <values cols="2">
          <value>
            <val>-27</val>
          </value>
          <value>
            <val>61</val>
          </value>
        </values>
      </ddeItem>
      <ddeItem name="BRFS3.VarMes" advise="1">
        <values cols="2">
          <value>
            <val>2</val>
          </value>
          <value>
            <val>13</val>
          </value>
        </values>
      </ddeItem>
      <ddeItem name="BRFS3.VarPer" advise="1">
        <values cols="2">
          <value>
            <val>0</val>
          </value>
          <value>
            <val>67</val>
          </value>
        </values>
      </ddeItem>
      <ddeItem name="BRFS3.VarSem" advise="1">
        <values cols="2">
          <value>
            <val>0</val>
          </value>
          <value>
            <val>67</val>
          </value>
        </values>
      </ddeItem>
      <ddeItem name="BRFS3.Vol" advise="1">
        <values>
          <value>
            <val>83511919</val>
          </value>
        </values>
      </ddeItem>
      <ddeItem name="BRKM5.Desc" advise="1">
        <values>
          <value t="str">
            <val>BRASKEM PNA N1</val>
          </value>
        </values>
      </ddeItem>
      <ddeItem name="BRKM5.Estado" advise="1">
        <values>
          <value t="str">
            <val>Normal</val>
          </value>
        </values>
      </ddeItem>
      <ddeItem name="BRKM5.Exerc" advise="1">
        <values>
          <value>
            <val>0</val>
          </value>
        </values>
      </ddeItem>
      <ddeItem name="BRKM5.Expir" advise="1">
        <values>
          <value t="nil">
            <val>1</val>
          </value>
        </values>
      </ddeItem>
      <ddeItem name="BRKM5.Fech" advise="1">
        <values cols="2">
          <value>
            <val>33</val>
          </value>
          <value>
            <val>71</val>
          </value>
        </values>
      </ddeItem>
      <ddeItem name="BRKM5.Hora" advise="1">
        <values>
          <value>
            <val>0.74988425925925928</val>
          </value>
        </values>
      </ddeItem>
      <ddeItem name="BRKM5.IbovParticip" advise="1">
        <values cols="2">
          <value>
            <val>0</val>
          </value>
          <value>
            <val>4449</val>
          </value>
        </values>
      </ddeItem>
      <ddeItem name="BRKM5.PreTeo" advise="1">
        <values>
          <value>
            <val>0</val>
          </value>
        </values>
      </ddeItem>
      <ddeItem name="BRKM5.QtdNeg" advise="1">
        <values>
          <value>
            <val>8563</val>
          </value>
        </values>
      </ddeItem>
      <ddeItem name="BRKM5.Ult" advise="1">
        <values cols="2">
          <value>
            <val>32</val>
          </value>
          <value>
            <val>79</val>
          </value>
        </values>
      </ddeItem>
      <ddeItem name="BRKM5.Var12M" advise="1">
        <values cols="2">
          <value>
            <val>-34</val>
          </value>
          <value>
            <val>19</val>
          </value>
        </values>
      </ddeItem>
      <ddeItem name="BRKM5.VarAnual" advise="1">
        <values cols="2">
          <value>
            <val>-40</val>
          </value>
          <value>
            <val>8</val>
          </value>
        </values>
      </ddeItem>
      <ddeItem name="BRKM5.VarMes" advise="1">
        <values cols="2">
          <value>
            <val>-10</val>
          </value>
          <value>
            <val>6</val>
          </value>
        </values>
      </ddeItem>
      <ddeItem name="BRKM5.VarPer" advise="1">
        <values cols="2">
          <value>
            <val>-2</val>
          </value>
          <value>
            <val>72</val>
          </value>
        </values>
      </ddeItem>
      <ddeItem name="BRKM5.VarSem" advise="1">
        <values cols="2">
          <value>
            <val>-2</val>
          </value>
          <value>
            <val>7</val>
          </value>
        </values>
      </ddeItem>
      <ddeItem name="BRKM5.Vol" advise="1">
        <values>
          <value>
            <val>60165833</val>
          </value>
        </values>
      </ddeItem>
      <ddeItem name="BRML3.Desc" advise="1">
        <values>
          <value t="str">
            <val>BR MALLS PARON NM</val>
          </value>
        </values>
      </ddeItem>
      <ddeItem name="BRML3.Estado" advise="1">
        <values>
          <value t="str">
            <val>Normal</val>
          </value>
        </values>
      </ddeItem>
      <ddeItem name="BRML3.Exerc" advise="1">
        <values>
          <value>
            <val>0</val>
          </value>
        </values>
      </ddeItem>
      <ddeItem name="BRML3.Expir" advise="1">
        <values>
          <value t="nil">
            <val>1</val>
          </value>
        </values>
      </ddeItem>
      <ddeItem name="BRML3.Fech" advise="1">
        <values cols="2">
          <value>
            <val>8</val>
          </value>
          <value>
            <val>76</val>
          </value>
        </values>
      </ddeItem>
      <ddeItem name="BRML3.Hora" advise="1">
        <values>
          <value>
            <val>0.74868055555555557</val>
          </value>
        </values>
      </ddeItem>
      <ddeItem name="BRML3.IbovParticip" advise="1">
        <values cols="2">
          <value>
            <val>0</val>
          </value>
          <value>
            <val>3614</val>
          </value>
        </values>
      </ddeItem>
      <ddeItem name="BRML3.PreTeo" advise="1">
        <values>
          <value>
            <val>0</val>
          </value>
        </values>
      </ddeItem>
      <ddeItem name="BRML3.QtdNeg" advise="1">
        <values>
          <value>
            <val>14815</val>
          </value>
        </values>
      </ddeItem>
      <ddeItem name="BRML3.Ult" advise="1">
        <values cols="2">
          <value>
            <val>8</val>
          </value>
          <value>
            <val>61</val>
          </value>
        </values>
      </ddeItem>
      <ddeItem name="BRML3.Var12M" advise="1">
        <values cols="2">
          <value>
            <val>-8</val>
          </value>
          <value>
            <val>88</val>
          </value>
        </values>
      </ddeItem>
      <ddeItem name="BRML3.VarAnual" advise="1">
        <values cols="2">
          <value>
            <val>4</val>
          </value>
          <value>
            <val>23</val>
          </value>
        </values>
      </ddeItem>
      <ddeItem name="BRML3.VarMes" advise="1">
        <values cols="2">
          <value>
            <val>8</val>
          </value>
          <value>
            <val>57</val>
          </value>
        </values>
      </ddeItem>
      <ddeItem name="BRML3.VarPer" advise="1">
        <values cols="2">
          <value>
            <val>-1</val>
          </value>
          <value>
            <val>71</val>
          </value>
        </values>
      </ddeItem>
      <ddeItem name="BRML3.VarSem" advise="1">
        <values cols="2">
          <value>
            <val>-1</val>
          </value>
          <value>
            <val>71</val>
          </value>
        </values>
      </ddeItem>
      <ddeItem name="BRML3.Vol" advise="1">
        <values>
          <value>
            <val>60716873</val>
          </value>
        </values>
      </ddeItem>
      <ddeItem name="BRSR6.Desc" advise="1">
        <values>
          <value t="str">
            <val>BANRISUL PNB N1</val>
          </value>
        </values>
      </ddeItem>
      <ddeItem name="BRSR6.Estado" advise="1">
        <values>
          <value t="str">
            <val>Normal</val>
          </value>
        </values>
      </ddeItem>
      <ddeItem name="BRSR6.Exerc" advise="1">
        <values>
          <value>
            <val>0</val>
          </value>
        </values>
      </ddeItem>
      <ddeItem name="BRSR6.Expir" advise="1">
        <values>
          <value t="nil">
            <val>1</val>
          </value>
        </values>
      </ddeItem>
      <ddeItem name="BRSR6.Fech" advise="1">
        <values cols="2">
          <value>
            <val>11</val>
          </value>
          <value>
            <val>1</val>
          </value>
        </values>
      </ddeItem>
      <ddeItem name="BRSR6.Hora" advise="1">
        <values>
          <value>
            <val>0.73946759259259265</val>
          </value>
        </values>
      </ddeItem>
      <ddeItem name="BRSR6.IbovParticip" advise="1">
        <values>
          <value>
            <val>0</val>
          </value>
        </values>
      </ddeItem>
      <ddeItem name="BRSR6.PreTeo" advise="1">
        <values>
          <value>
            <val>0</val>
          </value>
        </values>
      </ddeItem>
      <ddeItem name="BRSR6.QtdNeg" advise="1">
        <values>
          <value>
            <val>7686</val>
          </value>
        </values>
      </ddeItem>
      <ddeItem name="BRSR6.Ult" advise="1">
        <values cols="2">
          <value>
            <val>11</val>
          </value>
          <value>
            <val>4</val>
          </value>
        </values>
      </ddeItem>
      <ddeItem name="BRSR6.Var12M" advise="1">
        <values cols="2">
          <value>
            <val>0</val>
          </value>
          <value>
            <val>45</val>
          </value>
        </values>
      </ddeItem>
      <ddeItem name="BRSR6.VarAnual" advise="1">
        <values cols="2">
          <value>
            <val>21</val>
          </value>
          <value>
            <val>98</val>
          </value>
        </values>
      </ddeItem>
      <ddeItem name="BRSR6.VarMes" advise="1">
        <values cols="2">
          <value>
            <val>10</val>
          </value>
          <value>
            <val>28</val>
          </value>
        </values>
      </ddeItem>
      <ddeItem name="BRSR6.VarPer" advise="1">
        <values cols="2">
          <value>
            <val>0</val>
          </value>
          <value>
            <val>54</val>
          </value>
        </values>
      </ddeItem>
      <ddeItem name="BRSR6.VarSem" advise="1">
        <values cols="2">
          <value>
            <val>0</val>
          </value>
          <value>
            <val>54</val>
          </value>
        </values>
      </ddeItem>
      <ddeItem name="BRSR6.Vol" advise="1">
        <values>
          <value>
            <val>18752348</val>
          </value>
        </values>
      </ddeItem>
      <ddeItem name="CASH3.Desc" advise="1">
        <values>
          <value t="str">
            <val>MELIUZ ON NM</val>
          </value>
        </values>
      </ddeItem>
      <ddeItem name="CASH3.Estado" advise="1">
        <values>
          <value t="str">
            <val>Normal</val>
          </value>
        </values>
      </ddeItem>
      <ddeItem name="CASH3.Exerc" advise="1">
        <values>
          <value>
            <val>0</val>
          </value>
        </values>
      </ddeItem>
      <ddeItem name="CASH3.Expir" advise="1">
        <values>
          <value t="nil">
            <val>1</val>
          </value>
        </values>
      </ddeItem>
      <ddeItem name="CASH3.Fech" advise="1">
        <values cols="2">
          <value>
            <val>1</val>
          </value>
          <value>
            <val>24</val>
          </value>
        </values>
      </ddeItem>
      <ddeItem name="CASH3.Hora" advise="1">
        <values>
          <value>
            <val>0.74997685185185192</val>
          </value>
        </values>
      </ddeItem>
      <ddeItem name="CASH3.IbovParticip" advise="1">
        <values cols="2">
          <value>
            <val>0</val>
          </value>
          <value>
            <val>339</val>
          </value>
        </values>
      </ddeItem>
      <ddeItem name="CASH3.PreTeo" advise="1">
        <values>
          <value>
            <val>0</val>
          </value>
        </values>
      </ddeItem>
      <ddeItem name="CASH3.QtdNeg" advise="1">
        <values>
          <value>
            <val>10538</val>
          </value>
        </values>
      </ddeItem>
      <ddeItem name="CASH3.Ult" advise="1">
        <values cols="2">
          <value>
            <val>1</val>
          </value>
          <value>
            <val>18</val>
          </value>
        </values>
      </ddeItem>
      <ddeItem name="CASH3.Var12M" advise="1">
        <values cols="2">
          <value>
            <val>-84</val>
          </value>
          <value>
            <val>39</val>
          </value>
        </values>
      </ddeItem>
      <ddeItem name="CASH3.VarAnual" advise="1">
        <values cols="2">
          <value>
            <val>-63</val>
          </value>
          <value>
            <val>58</val>
          </value>
        </values>
      </ddeItem>
      <ddeItem name="CASH3.VarMes" advise="1">
        <values cols="2">
          <value>
            <val>12</val>
          </value>
          <value>
            <val>38</val>
          </value>
        </values>
      </ddeItem>
      <ddeItem name="CASH3.VarPer" advise="1">
        <values cols="2">
          <value>
            <val>-4</val>
          </value>
          <value>
            <val>83</val>
          </value>
        </values>
      </ddeItem>
      <ddeItem name="CASH3.VarSem" advise="1">
        <values cols="2">
          <value>
            <val>-4</val>
          </value>
          <value>
            <val>83</val>
          </value>
        </values>
      </ddeItem>
      <ddeItem name="CASH3.Vol" advise="1">
        <values>
          <value>
            <val>34834427</val>
          </value>
        </values>
      </ddeItem>
      <ddeItem name="CCRO3.Desc" advise="1">
        <values>
          <value t="str">
            <val>CCR SA ON NM</val>
          </value>
        </values>
      </ddeItem>
      <ddeItem name="CCRO3.Estado" advise="1">
        <values>
          <value t="str">
            <val>Normal</val>
          </value>
        </values>
      </ddeItem>
      <ddeItem name="CCRO3.Exerc" advise="1">
        <values>
          <value>
            <val>0</val>
          </value>
        </values>
      </ddeItem>
      <ddeItem name="CCRO3.Expir" advise="1">
        <values>
          <value t="nil">
            <val>1</val>
          </value>
        </values>
      </ddeItem>
      <ddeItem name="CCRO3.Fech" advise="1">
        <values cols="2">
          <value>
            <val>14</val>
          </value>
          <value>
            <val>3</val>
          </value>
        </values>
      </ddeItem>
      <ddeItem name="CCRO3.Hora" advise="1">
        <values>
          <value>
            <val>0.74633101851851846</val>
          </value>
        </values>
      </ddeItem>
      <ddeItem name="CCRO3.IbovParticip" advise="1">
        <values cols="2">
          <value>
            <val>0</val>
          </value>
          <value>
            <val>7796</val>
          </value>
        </values>
      </ddeItem>
      <ddeItem name="CCRO3.PreTeo" advise="1">
        <values>
          <value>
            <val>0</val>
          </value>
        </values>
      </ddeItem>
      <ddeItem name="CCRO3.QtdNeg" advise="1">
        <values>
          <value>
            <val>19207</val>
          </value>
        </values>
      </ddeItem>
      <ddeItem name="CCRO3.Ult" advise="1">
        <values cols="2">
          <value>
            <val>14</val>
          </value>
          <value>
            <val>23</val>
          </value>
        </values>
      </ddeItem>
      <ddeItem name="CCRO3.Var12M" advise="1">
        <values cols="2">
          <value>
            <val>13</val>
          </value>
          <value>
            <val>38</val>
          </value>
        </values>
      </ddeItem>
      <ddeItem name="CCRO3.VarAnual" advise="1">
        <values cols="2">
          <value>
            <val>23</val>
          </value>
          <value>
            <val>63</val>
          </value>
        </values>
      </ddeItem>
      <ddeItem name="CCRO3.VarMes" advise="1">
        <values cols="2">
          <value>
            <val>9</val>
          </value>
          <value>
            <val>54</val>
          </value>
        </values>
      </ddeItem>
      <ddeItem name="CCRO3.VarPer" advise="1">
        <values cols="2">
          <value>
            <val>1</val>
          </value>
          <value>
            <val>42</val>
          </value>
        </values>
      </ddeItem>
      <ddeItem name="CCRO3.VarSem" advise="1">
        <values cols="2">
          <value>
            <val>1</val>
          </value>
          <value>
            <val>49</val>
          </value>
        </values>
      </ddeItem>
      <ddeItem name="CCRO3.Vol" advise="1">
        <values>
          <value>
            <val>146202959</val>
          </value>
        </values>
      </ddeItem>
      <ddeItem name="CIEL3.Desc" advise="1">
        <values>
          <value t="str">
            <val>CIELO ON EJ NM</val>
          </value>
        </values>
      </ddeItem>
      <ddeItem name="CIEL3.Estado" advise="1">
        <values>
          <value t="str">
            <val>Normal</val>
          </value>
        </values>
      </ddeItem>
      <ddeItem name="CIEL3.Exerc" advise="1">
        <values>
          <value>
            <val>0</val>
          </value>
        </values>
      </ddeItem>
      <ddeItem name="CIEL3.Expir" advise="1">
        <values>
          <value t="nil">
            <val>1</val>
          </value>
        </values>
      </ddeItem>
      <ddeItem name="CIEL3.Fech" advise="1">
        <values cols="2">
          <value>
            <val>5</val>
          </value>
          <value>
            <val>47</val>
          </value>
        </values>
      </ddeItem>
      <ddeItem name="CIEL3.Hora" advise="1">
        <values>
          <value>
            <val>0.74990740740740736</val>
          </value>
        </values>
      </ddeItem>
      <ddeItem name="CIEL3.IbovParticip" advise="1">
        <values cols="2">
          <value>
            <val>0</val>
          </value>
          <value>
            <val>3117</val>
          </value>
        </values>
      </ddeItem>
      <ddeItem name="CIEL3.PreTeo" advise="1">
        <values>
          <value>
            <val>0</val>
          </value>
        </values>
      </ddeItem>
      <ddeItem name="CIEL3.QtdNeg" advise="1">
        <values>
          <value>
            <val>27349</val>
          </value>
        </values>
      </ddeItem>
      <ddeItem name="CIEL3.Ult" advise="1">
        <values cols="2">
          <value>
            <val>5</val>
          </value>
          <value>
            <val>6</val>
          </value>
        </values>
      </ddeItem>
      <ddeItem name="CIEL3.Var12M" advise="1">
        <values cols="2">
          <value>
            <val>105</val>
          </value>
          <value>
            <val>88</val>
          </value>
        </values>
      </ddeItem>
      <ddeItem name="CIEL3.VarAnual" advise="1">
        <values cols="2">
          <value>
            <val>151</val>
          </value>
          <value>
            <val>12</val>
          </value>
        </values>
      </ddeItem>
      <ddeItem name="CIEL3.VarMes" advise="1">
        <values cols="2">
          <value>
            <val>28</val>
          </value>
          <value>
            <val>44</val>
          </value>
        </values>
      </ddeItem>
      <ddeItem name="CIEL3.VarPer" advise="1">
        <values cols="2">
          <value>
            <val>2</val>
          </value>
          <value>
            <val>37</val>
          </value>
        </values>
      </ddeItem>
      <ddeItem name="CIEL3.VarSem" advise="1">
        <values cols="2">
          <value>
            <val>2</val>
          </value>
          <value>
            <val>37</val>
          </value>
        </values>
      </ddeItem>
      <ddeItem name="CIEL3.Vol" advise="1">
        <values>
          <value>
            <val>93679559</val>
          </value>
        </values>
      </ddeItem>
      <ddeItem name="CMIG4.Desc" advise="1">
        <values>
          <value t="str">
            <val>CEMIG PN N1</val>
          </value>
        </values>
      </ddeItem>
      <ddeItem name="CMIG4.Estado" advise="1">
        <values>
          <value t="str">
            <val>Normal</val>
          </value>
        </values>
      </ddeItem>
      <ddeItem name="CMIG4.Exerc" advise="1">
        <values>
          <value>
            <val>0</val>
          </value>
        </values>
      </ddeItem>
      <ddeItem name="CMIG4.Expir" advise="1">
        <values>
          <value t="nil">
            <val>1</val>
          </value>
        </values>
      </ddeItem>
      <ddeItem name="CMIG4.Fech" advise="1">
        <values cols="2">
          <value>
            <val>12</val>
          </value>
          <value>
            <val>82</val>
          </value>
        </values>
      </ddeItem>
      <ddeItem name="CMIG4.Hora" advise="1">
        <values>
          <value>
            <val>0.74837962962962967</val>
          </value>
        </values>
      </ddeItem>
      <ddeItem name="CMIG4.IbovParticip" advise="1">
        <values cols="2">
          <value>
            <val>0</val>
          </value>
          <value>
            <val>9248</val>
          </value>
        </values>
      </ddeItem>
      <ddeItem name="CMIG4.PreTeo" advise="1">
        <values>
          <value>
            <val>0</val>
          </value>
        </values>
      </ddeItem>
      <ddeItem name="CMIG4.QtdNeg" advise="1">
        <values>
          <value>
            <val>10664</val>
          </value>
        </values>
      </ddeItem>
      <ddeItem name="CMIG4.Ult" advise="1">
        <values cols="2">
          <value>
            <val>12</val>
          </value>
          <value>
            <val>85</val>
          </value>
        </values>
      </ddeItem>
      <ddeItem name="CMIG4.Var12M" advise="1">
        <values cols="2">
          <value>
            <val>47</val>
          </value>
          <value>
            <val>53</val>
          </value>
        </values>
      </ddeItem>
      <ddeItem name="CMIG4.VarAnual" advise="1">
        <values cols="2">
          <value>
            <val>35</val>
          </value>
          <value>
            <val>69</val>
          </value>
        </values>
      </ddeItem>
      <ddeItem name="CMIG4.VarMes" advise="1">
        <values cols="2">
          <value>
            <val>14</val>
          </value>
          <value>
            <val>32</val>
          </value>
        </values>
      </ddeItem>
      <ddeItem name="CMIG4.VarPer" advise="1">
        <values cols="2">
          <value>
            <val>0</val>
          </value>
          <value>
            <val>23</val>
          </value>
        </values>
      </ddeItem>
      <ddeItem name="CMIG4.VarSem" advise="1">
        <values cols="2">
          <value>
            <val>0</val>
          </value>
          <value>
            <val>23</val>
          </value>
        </values>
      </ddeItem>
      <ddeItem name="CMIG4.Vol" advise="1">
        <values>
          <value>
            <val>65437959</val>
          </value>
        </values>
      </ddeItem>
      <ddeItem name="CMIN3.Desc" advise="1">
        <values>
          <value t="str">
            <val>CSNMINERACAOON N2</val>
          </value>
        </values>
      </ddeItem>
      <ddeItem name="CMIN3.Estado" advise="1">
        <values>
          <value t="str">
            <val>Normal</val>
          </value>
        </values>
      </ddeItem>
      <ddeItem name="CMIN3.Exerc" advise="1">
        <values>
          <value>
            <val>0</val>
          </value>
        </values>
      </ddeItem>
      <ddeItem name="CMIN3.Expir" advise="1">
        <values>
          <value t="nil">
            <val>1</val>
          </value>
        </values>
      </ddeItem>
      <ddeItem name="CMIN3.Fech" advise="1">
        <values cols="2">
          <value>
            <val>3</val>
          </value>
          <value>
            <val>73</val>
          </value>
        </values>
      </ddeItem>
      <ddeItem name="CMIN3.Hora" advise="1">
        <values>
          <value>
            <val>0.74958333333333327</val>
          </value>
        </values>
      </ddeItem>
      <ddeItem name="CMIN3.IbovParticip" advise="1">
        <values cols="2">
          <value>
            <val>0</val>
          </value>
          <value>
            <val>2082</val>
          </value>
        </values>
      </ddeItem>
      <ddeItem name="CMIN3.PreTeo" advise="1">
        <values>
          <value>
            <val>0</val>
          </value>
        </values>
      </ddeItem>
      <ddeItem name="CMIN3.QtdNeg" advise="1">
        <values>
          <value>
            <val>7154</val>
          </value>
        </values>
      </ddeItem>
      <ddeItem name="CMIN3.Ult" advise="1">
        <values cols="2">
          <value>
            <val>3</val>
          </value>
          <value>
            <val>65</val>
          </value>
        </values>
      </ddeItem>
      <ddeItem name="CMIN3.Var12M" advise="1">
        <values cols="2">
          <value>
            <val>-40</val>
          </value>
          <value>
            <val>45</val>
          </value>
        </values>
      </ddeItem>
      <ddeItem name="CMIN3.VarAnual" advise="1">
        <values cols="2">
          <value>
            <val>-40</val>
          </value>
          <value>
            <val>55</val>
          </value>
        </values>
      </ddeItem>
      <ddeItem name="CMIN3.VarMes" advise="1">
        <values cols="2">
          <value>
            <val>4</val>
          </value>
          <value>
            <val>28</val>
          </value>
        </values>
      </ddeItem>
      <ddeItem name="CMIN3.VarPer" advise="1">
        <values cols="2">
          <value>
            <val>-2</val>
          </value>
          <value>
            <val>14</val>
          </value>
        </values>
      </ddeItem>
      <ddeItem name="CMIN3.VarSem" advise="1">
        <values cols="2">
          <value>
            <val>-2</val>
          </value>
          <value>
            <val>14</val>
          </value>
        </values>
      </ddeItem>
      <ddeItem name="CMIN3.Vol" advise="1">
        <values>
          <value>
            <val>27357574</val>
          </value>
        </values>
      </ddeItem>
      <ddeItem name="COGN3.Desc" advise="1">
        <values>
          <value t="str">
            <val>COGNA ON ON NM</val>
          </value>
        </values>
      </ddeItem>
      <ddeItem name="COGN3.Estado" advise="1">
        <values>
          <value t="str">
            <val>Normal</val>
          </value>
        </values>
      </ddeItem>
      <ddeItem name="COGN3.Exerc" advise="1">
        <values>
          <value>
            <val>0</val>
          </value>
        </values>
      </ddeItem>
      <ddeItem name="COGN3.Expir" advise="1">
        <values>
          <value t="nil">
            <val>1</val>
          </value>
        </values>
      </ddeItem>
      <ddeItem name="COGN3.Fech" advise="1">
        <values cols="2">
          <value>
            <val>2</val>
          </value>
          <value>
            <val>59</val>
          </value>
        </values>
      </ddeItem>
      <ddeItem name="COGN3.Hora" advise="1">
        <values>
          <value>
            <val>0.74996527777777777</val>
          </value>
        </values>
      </ddeItem>
      <ddeItem name="COGN3.IbovParticip" advise="1">
        <values cols="2">
          <value>
            <val>0</val>
          </value>
          <value>
            <val>2358</val>
          </value>
        </values>
      </ddeItem>
      <ddeItem name="COGN3.PreTeo" advise="1">
        <values>
          <value>
            <val>0</val>
          </value>
        </values>
      </ddeItem>
      <ddeItem name="COGN3.QtdNeg" advise="1">
        <values>
          <value>
            <val>10501</val>
          </value>
        </values>
      </ddeItem>
      <ddeItem name="COGN3.Ult" advise="1">
        <values cols="2">
          <value>
            <val>2</val>
          </value>
          <value>
            <val>55</val>
          </value>
        </values>
      </ddeItem>
      <ddeItem name="COGN3.Var12M" advise="1">
        <values cols="2">
          <value>
            <val>-22</val>
          </value>
          <value>
            <val>96</val>
          </value>
        </values>
      </ddeItem>
      <ddeItem name="COGN3.VarAnual" advise="1">
        <values cols="2">
          <value>
            <val>3</val>
          </value>
          <value>
            <val>65</val>
          </value>
        </values>
      </ddeItem>
      <ddeItem name="COGN3.VarMes" advise="1">
        <values cols="2">
          <value>
            <val>13</val>
          </value>
          <value>
            <val>33</val>
          </value>
        </values>
      </ddeItem>
      <ddeItem name="COGN3.VarPer" advise="1">
        <values cols="2">
          <value>
            <val>-1</val>
          </value>
          <value>
            <val>54</val>
          </value>
        </values>
      </ddeItem>
      <ddeItem name="COGN3.VarSem" advise="1">
        <values cols="2">
          <value>
            <val>-1</val>
          </value>
          <value>
            <val>54</val>
          </value>
        </values>
      </ddeItem>
      <ddeItem name="COGN3.Vol" advise="1">
        <values>
          <value>
            <val>46471366</val>
          </value>
        </values>
      </ddeItem>
      <ddeItem name="CPLE6.Desc" advise="1">
        <values>
          <value t="str">
            <val>COPEL PNB N2</val>
          </value>
        </values>
      </ddeItem>
      <ddeItem name="CPLE6.Estado" advise="1">
        <values>
          <value t="str">
            <val>Normal</val>
          </value>
        </values>
      </ddeItem>
      <ddeItem name="CPLE6.Exerc" advise="1">
        <values>
          <value>
            <val>0</val>
          </value>
        </values>
      </ddeItem>
      <ddeItem name="CPLE6.Expir" advise="1">
        <values>
          <value t="nil">
            <val>1</val>
          </value>
        </values>
      </ddeItem>
      <ddeItem name="CPLE6.Fech" advise="1">
        <values cols="2">
          <value>
            <val>7</val>
          </value>
          <value>
            <val>11</val>
          </value>
        </values>
      </ddeItem>
      <ddeItem name="CPLE6.Hora" advise="1">
        <values>
          <value>
            <val>0.74937500000000001</val>
          </value>
        </values>
      </ddeItem>
      <ddeItem name="CPLE6.IbovParticip" advise="1">
        <values cols="2">
          <value>
            <val>0</val>
          </value>
          <value>
            <val>5536</val>
          </value>
        </values>
      </ddeItem>
      <ddeItem name="CPLE6.PreTeo" advise="1">
        <values>
          <value>
            <val>0</val>
          </value>
        </values>
      </ddeItem>
      <ddeItem name="CPLE6.QtdNeg" advise="1">
        <values>
          <value>
            <val>12998</val>
          </value>
        </values>
      </ddeItem>
      <ddeItem name="CPLE6.Ult" advise="1">
        <values cols="2">
          <value>
            <val>7</val>
          </value>
          <value>
            <val>14</val>
          </value>
        </values>
      </ddeItem>
      <ddeItem name="CPLE6.Var12M" advise="1">
        <values cols="2">
          <value>
            <val>25</val>
          </value>
          <value>
            <val>26</val>
          </value>
        </values>
      </ddeItem>
      <ddeItem name="CPLE6.VarAnual" advise="1">
        <values cols="2">
          <value>
            <val>21</val>
          </value>
          <value>
            <val>1</val>
          </value>
        </values>
      </ddeItem>
      <ddeItem name="CPLE6.VarMes" advise="1">
        <values cols="2">
          <value>
            <val>2</val>
          </value>
          <value>
            <val>14</val>
          </value>
        </values>
      </ddeItem>
      <ddeItem name="CPLE6.VarPer" advise="1">
        <values cols="2">
          <value>
            <val>0</val>
          </value>
          <value>
            <val>42</val>
          </value>
        </values>
      </ddeItem>
      <ddeItem name="CPLE6.VarSem" advise="1">
        <values cols="2">
          <value>
            <val>0</val>
          </value>
          <value>
            <val>42</val>
          </value>
        </values>
      </ddeItem>
      <ddeItem name="CPLE6.Vol" advise="1">
        <values>
          <value>
            <val>39652116</val>
          </value>
        </values>
      </ddeItem>
      <ddeItem name="CRFB3.Desc" advise="1">
        <values>
          <value t="str">
            <val>CARREFOUR BRON NM</val>
          </value>
        </values>
      </ddeItem>
      <ddeItem name="CRFB3.Estado" advise="1">
        <values>
          <value t="str">
            <val>Normal</val>
          </value>
        </values>
      </ddeItem>
      <ddeItem name="CRFB3.Exerc" advise="1">
        <values>
          <value>
            <val>0</val>
          </value>
        </values>
      </ddeItem>
      <ddeItem name="CRFB3.Expir" advise="1">
        <values>
          <value t="nil">
            <val>1</val>
          </value>
        </values>
      </ddeItem>
      <ddeItem name="CRFB3.Fech" advise="1">
        <values cols="2">
          <value>
            <val>20</val>
          </value>
          <value>
            <val>2</val>
          </value>
        </values>
      </ddeItem>
      <ddeItem name="CRFB3.Hora" advise="1">
        <values>
          <value>
            <val>0.74046296296296299</val>
          </value>
        </values>
      </ddeItem>
      <ddeItem name="CRFB3.IbovParticip" advise="1">
        <values cols="2">
          <value>
            <val>0</val>
          </value>
          <value>
            <val>4135</val>
          </value>
        </values>
      </ddeItem>
      <ddeItem name="CRFB3.PreTeo" advise="1">
        <values>
          <value>
            <val>0</val>
          </value>
        </values>
      </ddeItem>
      <ddeItem name="CRFB3.QtdNeg" advise="1">
        <values>
          <value>
            <val>10920</val>
          </value>
        </values>
      </ddeItem>
      <ddeItem name="CRFB3.Ult" advise="1">
        <values cols="2">
          <value>
            <val>20</val>
          </value>
          <value>
            <val>11</val>
          </value>
        </values>
      </ddeItem>
      <ddeItem name="CRFB3.Var12M" advise="1">
        <values cols="2">
          <value>
            <val>7</val>
          </value>
          <value>
            <val>94</val>
          </value>
        </values>
      </ddeItem>
      <ddeItem name="CRFB3.VarAnual" advise="1">
        <values cols="2">
          <value>
            <val>32</val>
          </value>
          <value>
            <val>91</val>
          </value>
        </values>
      </ddeItem>
      <ddeItem name="CRFB3.VarMes" advise="1">
        <values>
          <value>
            <val>8</val>
          </value>
        </values>
      </ddeItem>
      <ddeItem name="CRFB3.VarPer" advise="1">
        <values cols="2">
          <value>
            <val>0</val>
          </value>
          <value>
            <val>44</val>
          </value>
        </values>
      </ddeItem>
      <ddeItem name="CRFB3.VarSem" advise="1">
        <values cols="2">
          <value>
            <val>0</val>
          </value>
          <value>
            <val>44</val>
          </value>
        </values>
      </ddeItem>
      <ddeItem name="CRFB3.Vol" advise="1">
        <values>
          <value>
            <val>50293654</val>
          </value>
        </values>
      </ddeItem>
      <ddeItem name="CSAN3.Desc" advise="1">
        <values>
          <value t="str">
            <val>COSAN ON NM</val>
          </value>
        </values>
      </ddeItem>
      <ddeItem name="CSAN3.Estado" advise="1">
        <values>
          <value t="str">
            <val>Normal</val>
          </value>
        </values>
      </ddeItem>
      <ddeItem name="CSAN3.Exerc" advise="1">
        <values>
          <value>
            <val>0</val>
          </value>
        </values>
      </ddeItem>
      <ddeItem name="CSAN3.Expir" advise="1">
        <values>
          <value t="nil">
            <val>1</val>
          </value>
        </values>
      </ddeItem>
      <ddeItem name="CSAN3.Fech" advise="1">
        <values cols="2">
          <value>
            <val>20</val>
          </value>
          <value>
            <val>83</val>
          </value>
        </values>
      </ddeItem>
      <ddeItem name="CSAN3.Hora" advise="1">
        <values>
          <value>
            <val>0.74322916666666661</val>
          </value>
        </values>
      </ddeItem>
      <ddeItem name="CSAN3.IbovParticip" advise="1">
        <values cols="2">
          <value>
            <val>1</val>
          </value>
          <value>
            <val>2148</val>
          </value>
        </values>
      </ddeItem>
      <ddeItem name="CSAN3.PreTeo" advise="1">
        <values>
          <value>
            <val>0</val>
          </value>
        </values>
      </ddeItem>
      <ddeItem name="CSAN3.QtdNeg" advise="1">
        <values>
          <value>
            <val>15820</val>
          </value>
        </values>
      </ddeItem>
      <ddeItem name="CSAN3.Ult" advise="1">
        <values cols="2">
          <value>
            <val>20</val>
          </value>
          <value>
            <val>47</val>
          </value>
        </values>
      </ddeItem>
      <ddeItem name="CSAN3.Var12M" advise="1">
        <values cols="2">
          <value>
            <val>-5</val>
          </value>
          <value>
            <val>45</val>
          </value>
        </values>
      </ddeItem>
      <ddeItem name="CSAN3.VarAnual" advise="1">
        <values cols="2">
          <value>
            <val>-3</val>
          </value>
          <value>
            <val>44</val>
          </value>
        </values>
      </ddeItem>
      <ddeItem name="CSAN3.VarMes" advise="1">
        <values cols="2">
          <value>
            <val>9</val>
          </value>
          <value>
            <val>64</val>
          </value>
        </values>
      </ddeItem>
      <ddeItem name="CSAN3.VarPer" advise="1">
        <values cols="2">
          <value>
            <val>-1</val>
          </value>
          <value>
            <val>72</val>
          </value>
        </values>
      </ddeItem>
      <ddeItem name="CSAN3.VarSem" advise="1">
        <values cols="2">
          <value>
            <val>-1</val>
          </value>
          <value>
            <val>72</val>
          </value>
        </values>
      </ddeItem>
      <ddeItem name="CSAN3.Vol" advise="1">
        <values>
          <value>
            <val>89655717</val>
          </value>
        </values>
      </ddeItem>
      <ddeItem name="CSMG3.Desc" advise="1">
        <values>
          <value t="str">
            <val>COPASA ON NM</val>
          </value>
        </values>
      </ddeItem>
      <ddeItem name="CSMG3.Estado" advise="1">
        <values>
          <value t="str">
            <val>Normal</val>
          </value>
        </values>
      </ddeItem>
      <ddeItem name="CSMG3.Exerc" advise="1">
        <values>
          <value>
            <val>0</val>
          </value>
        </values>
      </ddeItem>
      <ddeItem name="CSMG3.Expir" advise="1">
        <values>
          <value t="nil">
            <val>1</val>
          </value>
        </values>
      </ddeItem>
      <ddeItem name="CSMG3.Fech" advise="1">
        <values cols="2">
          <value>
            <val>13</val>
          </value>
          <value>
            <val>42</val>
          </value>
        </values>
      </ddeItem>
      <ddeItem name="CSMG3.Hora" advise="1">
        <values>
          <value>
            <val>0.74524305555555559</val>
          </value>
        </values>
      </ddeItem>
      <ddeItem name="CSMG3.IbovParticip" advise="1">
        <values>
          <value>
            <val>0</val>
          </value>
        </values>
      </ddeItem>
      <ddeItem name="CSMG3.PreTeo" advise="1">
        <values>
          <value>
            <val>0</val>
          </value>
        </values>
      </ddeItem>
      <ddeItem name="CSMG3.QtdNeg" advise="1">
        <values>
          <value>
            <val>5717</val>
          </value>
        </values>
      </ddeItem>
      <ddeItem name="CSMG3.Ult" advise="1">
        <values cols="2">
          <value>
            <val>13</val>
          </value>
          <value>
            <val>39</val>
          </value>
        </values>
      </ddeItem>
      <ddeItem name="CSMG3.Var12M" advise="1">
        <values cols="2">
          <value>
            <val>-1</val>
          </value>
          <value>
            <val>68</val>
          </value>
        </values>
      </ddeItem>
      <ddeItem name="CSMG3.VarAnual" advise="1">
        <values cols="2">
          <value>
            <val>7</val>
          </value>
          <value>
            <val>3</val>
          </value>
        </values>
      </ddeItem>
      <ddeItem name="CSMG3.VarMes" advise="1">
        <values cols="2">
          <value>
            <val>11</val>
          </value>
          <value>
            <val>58</val>
          </value>
        </values>
      </ddeItem>
      <ddeItem name="CSMG3.VarPer" advise="1">
        <values cols="2">
          <value>
            <val>0</val>
          </value>
          <value>
            <val>22</val>
          </value>
        </values>
      </ddeItem>
      <ddeItem name="CSMG3.VarSem" advise="1">
        <values cols="2">
          <value>
            <val>0</val>
          </value>
          <value>
            <val>22</val>
          </value>
        </values>
      </ddeItem>
      <ddeItem name="CSMG3.Vol" advise="1">
        <values>
          <value>
            <val>20967298</val>
          </value>
        </values>
      </ddeItem>
      <ddeItem name="CSNA3.Desc" advise="1">
        <values>
          <value t="str">
            <val>SID NACIONALON</val>
          </value>
        </values>
      </ddeItem>
      <ddeItem name="CSNA3.Estado" advise="1">
        <values>
          <value t="str">
            <val>Normal</val>
          </value>
        </values>
      </ddeItem>
      <ddeItem name="CSNA3.Exerc" advise="1">
        <values>
          <value>
            <val>0</val>
          </value>
        </values>
      </ddeItem>
      <ddeItem name="CSNA3.Expir" advise="1">
        <values>
          <value t="nil">
            <val>1</val>
          </value>
        </values>
      </ddeItem>
      <ddeItem name="CSNA3.Fech" advise="1">
        <values cols="2">
          <value>
            <val>15</val>
          </value>
          <value>
            <val>37</val>
          </value>
        </values>
      </ddeItem>
      <ddeItem name="CSNA3.Hora" advise="1">
        <values>
          <value>
            <val>0.74981481481481482</val>
          </value>
        </values>
      </ddeItem>
      <ddeItem name="CSNA3.IbovParticip" advise="1">
        <values cols="2">
          <value>
            <val>0</val>
          </value>
          <value>
            <val>4917</val>
          </value>
        </values>
      </ddeItem>
      <ddeItem name="CSNA3.PreTeo" advise="1">
        <values>
          <value>
            <val>0</val>
          </value>
        </values>
      </ddeItem>
      <ddeItem name="CSNA3.QtdNeg" advise="1">
        <values>
          <value>
            <val>15636</val>
          </value>
        </values>
      </ddeItem>
      <ddeItem name="CSNA3.Ult" advise="1">
        <values cols="2">
          <value>
            <val>14</val>
          </value>
          <value>
            <val>81</val>
          </value>
        </values>
      </ddeItem>
      <ddeItem name="CSNA3.Var12M" advise="1">
        <values cols="2">
          <value>
            <val>-58</val>
          </value>
          <value>
            <val>28</val>
          </value>
        </values>
      </ddeItem>
      <ddeItem name="CSNA3.VarAnual" advise="1">
        <values cols="2">
          <value>
            <val>-38</val>
          </value>
          <value>
            <val>31</val>
          </value>
        </values>
      </ddeItem>
      <ddeItem name="CSNA3.VarMes" advise="1">
        <values cols="2">
          <value>
            <val>0</val>
          </value>
          <value>
            <val>67</val>
          </value>
        </values>
      </ddeItem>
      <ddeItem name="CSNA3.VarPer" advise="1">
        <values cols="2">
          <value>
            <val>-3</val>
          </value>
          <value>
            <val>64</val>
          </value>
        </values>
      </ddeItem>
      <ddeItem name="CSNA3.VarSem" advise="1">
        <values cols="2">
          <value>
            <val>-3</val>
          </value>
          <value>
            <val>64</val>
          </value>
        </values>
      </ddeItem>
      <ddeItem name="CSNA3.Vol" advise="1">
        <values>
          <value>
            <val>170771141</val>
          </value>
        </values>
      </ddeItem>
      <ddeItem name="CVCB3.Desc" advise="1">
        <values>
          <value t="str">
            <val>CVC BRASIL ON NM</val>
          </value>
        </values>
      </ddeItem>
      <ddeItem name="CVCB3.Estado" advise="1">
        <values>
          <value t="str">
            <val>Normal</val>
          </value>
        </values>
      </ddeItem>
      <ddeItem name="CVCB3.Exerc" advise="1">
        <values>
          <value>
            <val>0</val>
          </value>
        </values>
      </ddeItem>
      <ddeItem name="CVCB3.Expir" advise="1">
        <values>
          <value t="nil">
            <val>1</val>
          </value>
        </values>
      </ddeItem>
      <ddeItem name="CVCB3.Fech" advise="1">
        <values cols="2">
          <value>
            <val>7</val>
          </value>
          <value>
            <val>9</val>
          </value>
        </values>
      </ddeItem>
      <ddeItem name="CVCB3.Hora" advise="1">
        <values>
          <value>
            <val>0.74968749999999995</val>
          </value>
        </values>
      </ddeItem>
      <ddeItem name="CVCB3.IbovParticip" advise="1">
        <values cols="2">
          <value>
            <val>0</val>
          </value>
          <value>
            <val>976</val>
          </value>
        </values>
      </ddeItem>
      <ddeItem name="CVCB3.PreTeo" advise="1">
        <values>
          <value>
            <val>0</val>
          </value>
        </values>
      </ddeItem>
      <ddeItem name="CVCB3.QtdNeg" advise="1">
        <values>
          <value>
            <val>9382</val>
          </value>
        </values>
      </ddeItem>
      <ddeItem name="CVCB3.Ult" advise="1">
        <values cols="2">
          <value>
            <val>6</val>
          </value>
          <value>
            <val>97</val>
          </value>
        </values>
      </ddeItem>
      <ddeItem name="CVCB3.Var12M" advise="1">
        <values cols="2">
          <value>
            <val>-64</val>
          </value>
          <value>
            <val>83</val>
          </value>
        </values>
      </ddeItem>
      <ddeItem name="CVCB3.VarAnual" advise="1">
        <values cols="2">
          <value>
            <val>-48</val>
          </value>
          <value>
            <val>6</val>
          </value>
        </values>
      </ddeItem>
      <ddeItem name="CVCB3.VarMes" advise="1">
        <values>
          <value>
            <val>0</val>
          </value>
        </values>
      </ddeItem>
      <ddeItem name="CVCB3.VarPer" advise="1">
        <values cols="2">
          <value>
            <val>-1</val>
          </value>
          <value>
            <val>69</val>
          </value>
        </values>
      </ddeItem>
      <ddeItem name="CVCB3.VarSem" advise="1">
        <values cols="2">
          <value>
            <val>-1</val>
          </value>
          <value>
            <val>69</val>
          </value>
        </values>
      </ddeItem>
      <ddeItem name="CVCB3.Vol" advise="1">
        <values>
          <value>
            <val>66107937</val>
          </value>
        </values>
      </ddeItem>
      <ddeItem name="CYRE3.Desc" advise="1">
        <values>
          <value t="str">
            <val>CYRELA REALTON NM</val>
          </value>
        </values>
      </ddeItem>
      <ddeItem name="CYRE3.Estado" advise="1">
        <values>
          <value t="str">
            <val>Normal</val>
          </value>
        </values>
      </ddeItem>
      <ddeItem name="CYRE3.Exerc" advise="1">
        <values>
          <value>
            <val>0</val>
          </value>
        </values>
      </ddeItem>
      <ddeItem name="CYRE3.Expir" advise="1">
        <values>
          <value t="nil">
            <val>1</val>
          </value>
        </values>
      </ddeItem>
      <ddeItem name="CYRE3.Fech" advise="1">
        <values cols="2">
          <value>
            <val>14</val>
          </value>
          <value>
            <val>13</val>
          </value>
        </values>
      </ddeItem>
      <ddeItem name="CYRE3.Hora" advise="1">
        <values>
          <value>
            <val>0.74898148148148147</val>
          </value>
        </values>
      </ddeItem>
      <ddeItem name="CYRE3.IbovParticip" advise="1">
        <values cols="2">
          <value>
            <val>0</val>
          </value>
          <value>
            <val>1982</val>
          </value>
        </values>
      </ddeItem>
      <ddeItem name="CYRE3.PreTeo" advise="1">
        <values>
          <value>
            <val>0</val>
          </value>
        </values>
      </ddeItem>
      <ddeItem name="CYRE3.QtdNeg" advise="1">
        <values>
          <value>
            <val>15379</val>
          </value>
        </values>
      </ddeItem>
      <ddeItem name="CYRE3.Ult" advise="1">
        <values cols="2">
          <value>
            <val>14</val>
          </value>
          <value>
            <val>1</val>
          </value>
        </values>
      </ddeItem>
      <ddeItem name="CYRE3.Var12M" advise="1">
        <values cols="2">
          <value>
            <val>-21</val>
          </value>
          <value>
            <val>42</val>
          </value>
        </values>
      </ddeItem>
      <ddeItem name="CYRE3.VarAnual" advise="1">
        <values cols="2">
          <value>
            <val>-7</val>
          </value>
          <value>
            <val>7</val>
          </value>
        </values>
      </ddeItem>
      <ddeItem name="CYRE3.VarMes" advise="1">
        <values cols="2">
          <value>
            <val>10</val>
          </value>
          <value>
            <val>92</val>
          </value>
        </values>
      </ddeItem>
      <ddeItem name="CYRE3.VarPer" advise="1">
        <values cols="2">
          <value>
            <val>0</val>
          </value>
          <value>
            <val>84</val>
          </value>
        </values>
      </ddeItem>
      <ddeItem name="CYRE3.VarSem" advise="1">
        <values cols="2">
          <value>
            <val>0</val>
          </value>
          <value>
            <val>84</val>
          </value>
        </values>
      </ddeItem>
      <ddeItem name="CYRE3.Vol" advise="1">
        <values>
          <value>
            <val>63092284</val>
          </value>
        </values>
      </ddeItem>
      <ddeItem name="DOLFUT.Desc" advise="1">
        <values>
          <value t="str">
            <val>DOLAR COMERCIAL FUTURO:100000157234</val>
          </value>
        </values>
      </ddeItem>
      <ddeItem name="DOLFUT.Estado" advise="1">
        <values>
          <value t="str">
            <val>Normal</val>
          </value>
        </values>
      </ddeItem>
      <ddeItem name="DOLFUT.Exerc" advise="1">
        <values>
          <value>
            <val>0</val>
          </value>
        </values>
      </ddeItem>
      <ddeItem name="DOLFUT.Expir" advise="1">
        <values>
          <value>
            <val>44805</val>
          </value>
        </values>
      </ddeItem>
      <ddeItem name="DOLFUT.Fech" advise="1">
        <values>
          <value>
            <val>5172</val>
          </value>
        </values>
      </ddeItem>
      <ddeItem name="DOLFUT.Hora" advise="1">
        <values>
          <value>
            <val>0.74997685185185192</val>
          </value>
        </values>
      </ddeItem>
      <ddeItem name="DOLFUT.IbovParticip" advise="1">
        <values>
          <value>
            <val>0</val>
          </value>
        </values>
      </ddeItem>
      <ddeItem name="DOLFUT.PreTeo" advise="1">
        <values>
          <value>
            <val>0</val>
          </value>
        </values>
      </ddeItem>
      <ddeItem name="DOLFUT.QtdNeg" advise="1">
        <values>
          <value>
            <val>31567</val>
          </value>
        </values>
      </ddeItem>
      <ddeItem name="DOLFUT.Ult" advise="1">
        <values>
          <value>
            <val>5172</val>
          </value>
        </values>
      </ddeItem>
      <ddeItem name="DOLFUT.Var12M" advise="1">
        <values cols="2">
          <value>
            <val>-11</val>
          </value>
          <value>
            <val>88</val>
          </value>
        </values>
      </ddeItem>
      <ddeItem name="DOLFUT.VarAnual" advise="1">
        <values cols="2">
          <value>
            <val>-13</val>
          </value>
          <value>
            <val>13</val>
          </value>
        </values>
      </ddeItem>
      <ddeItem name="DOLFUT.VarMes" advise="1">
        <values cols="2">
          <value>
            <val>0</val>
          </value>
          <value>
            <val>95</val>
          </value>
        </values>
      </ddeItem>
      <ddeItem name="DOLFUT.VarPer" advise="1">
        <values cols="2">
          <value>
            <val>0</val>
          </value>
          <value>
            <val>31</val>
          </value>
        </values>
      </ddeItem>
      <ddeItem name="DOLFUT.VarSem" advise="1">
        <values cols="2">
          <value>
            <val>0</val>
          </value>
          <value>
            <val>31</val>
          </value>
        </values>
      </ddeItem>
      <ddeItem name="DOLFUT.Vol" advise="1">
        <values>
          <value>
            <val>234055</val>
          </value>
        </values>
      </ddeItem>
      <ddeItem name="DXCO3.Desc" advise="1">
        <values>
          <value t="str">
            <val>DEXCO ON NM</val>
          </value>
        </values>
      </ddeItem>
      <ddeItem name="DXCO3.Estado" advise="1">
        <values>
          <value t="str">
            <val>Normal</val>
          </value>
        </values>
      </ddeItem>
      <ddeItem name="DXCO3.Exerc" advise="1">
        <values>
          <value>
            <val>0</val>
          </value>
        </values>
      </ddeItem>
      <ddeItem name="DXCO3.Expir" advise="1">
        <values>
          <value t="nil">
            <val>1</val>
          </value>
        </values>
      </ddeItem>
      <ddeItem name="DXCO3.Fech" advise="1">
        <values cols="2">
          <value>
            <val>10</val>
          </value>
          <value>
            <val>39</val>
          </value>
        </values>
      </ddeItem>
      <ddeItem name="DXCO3.Hora" advise="1">
        <values>
          <value>
            <val>0.74282407407407414</val>
          </value>
        </values>
      </ddeItem>
      <ddeItem name="DXCO3.IbovParticip" advise="1">
        <values cols="2">
          <value>
            <val>0</val>
          </value>
          <value>
            <val>153</val>
          </value>
        </values>
      </ddeItem>
      <ddeItem name="DXCO3.PreTeo" advise="1">
        <values>
          <value>
            <val>0</val>
          </value>
        </values>
      </ddeItem>
      <ddeItem name="DXCO3.QtdNeg" advise="1">
        <values>
          <value>
            <val>9252</val>
          </value>
        </values>
      </ddeItem>
      <ddeItem name="DXCO3.Ult" advise="1">
        <values cols="2">
          <value>
            <val>10</val>
          </value>
          <value>
            <val>41</val>
          </value>
        </values>
      </ddeItem>
      <ddeItem name="DXCO3.Var12M" advise="1">
        <values cols="2">
          <value>
            <val>-41</val>
          </value>
          <value>
            <val>58</val>
          </value>
        </values>
      </ddeItem>
      <ddeItem name="DXCO3.VarAnual" advise="1">
        <values cols="2">
          <value>
            <val>-30</val>
          </value>
          <value>
            <val>41</val>
          </value>
        </values>
      </ddeItem>
      <ddeItem name="DXCO3.VarMes" advise="1">
        <values cols="2">
          <value>
            <val>6</val>
          </value>
          <value>
            <val>76</val>
          </value>
        </values>
      </ddeItem>
      <ddeItem name="DXCO3.VarPer" advise="1">
        <values cols="2">
          <value>
            <val>0</val>
          </value>
          <value>
            <val>19</val>
          </value>
        </values>
      </ddeItem>
      <ddeItem name="DXCO3.VarSem" advise="1">
        <values cols="2">
          <value>
            <val>0</val>
          </value>
          <value>
            <val>19</val>
          </value>
        </values>
      </ddeItem>
      <ddeItem name="DXCO3.Vol" advise="1">
        <values>
          <value>
            <val>26761327</val>
          </value>
        </values>
      </ddeItem>
      <ddeItem name="ECOR3.Desc" advise="1">
        <values>
          <value t="str">
            <val>ECORODOVIAS ON NM</val>
          </value>
        </values>
      </ddeItem>
      <ddeItem name="ECOR3.Estado" advise="1">
        <values>
          <value t="str">
            <val>Normal</val>
          </value>
        </values>
      </ddeItem>
      <ddeItem name="ECOR3.Exerc" advise="1">
        <values>
          <value>
            <val>0</val>
          </value>
        </values>
      </ddeItem>
      <ddeItem name="ECOR3.Expir" advise="1">
        <values>
          <value t="nil">
            <val>1</val>
          </value>
        </values>
      </ddeItem>
      <ddeItem name="ECOR3.Fech" advise="1">
        <values cols="2">
          <value>
            <val>6</val>
          </value>
          <value>
            <val>17</val>
          </value>
        </values>
      </ddeItem>
      <ddeItem name="ECOR3.Hora" advise="1">
        <values>
          <value>
            <val>0.74928240740740737</val>
          </value>
        </values>
      </ddeItem>
      <ddeItem name="ECOR3.IbovParticip" advise="1">
        <values cols="2">
          <value>
            <val>0</val>
          </value>
          <value>
            <val>1042</val>
          </value>
        </values>
      </ddeItem>
      <ddeItem name="ECOR3.PreTeo" advise="1">
        <values>
          <value>
            <val>0</val>
          </value>
        </values>
      </ddeItem>
      <ddeItem name="ECOR3.QtdNeg" advise="1">
        <values>
          <value>
            <val>10524</val>
          </value>
        </values>
      </ddeItem>
      <ddeItem name="ECOR3.Ult" advise="1">
        <values cols="2">
          <value>
            <val>6</val>
          </value>
          <value>
            <val>7</val>
          </value>
        </values>
      </ddeItem>
      <ddeItem name="ECOR3.Var12M" advise="1">
        <values cols="2">
          <value>
            <val>-38</val>
          </value>
          <value>
            <val>81</val>
          </value>
        </values>
      </ddeItem>
      <ddeItem name="ECOR3.VarAnual" advise="1">
        <values cols="2">
          <value>
            <val>-17</val>
          </value>
          <value>
            <val>7</val>
          </value>
        </values>
      </ddeItem>
      <ddeItem name="ECOR3.VarMes" advise="1">
        <values cols="2">
          <value>
            <val>6</val>
          </value>
          <value>
            <val>67</val>
          </value>
        </values>
      </ddeItem>
      <ddeItem name="ECOR3.VarPer" advise="1">
        <values cols="2">
          <value>
            <val>-1</val>
          </value>
          <value>
            <val>62</val>
          </value>
        </values>
      </ddeItem>
      <ddeItem name="ECOR3.VarSem" advise="1">
        <values cols="2">
          <value>
            <val>-1</val>
          </value>
          <value>
            <val>62</val>
          </value>
        </values>
      </ddeItem>
      <ddeItem name="ECOR3.Vol" advise="1">
        <values>
          <value>
            <val>28109820</val>
          </value>
        </values>
      </ddeItem>
      <ddeItem name="EGIE3.Desc" advise="1">
        <values>
          <value t="str">
            <val>ENGIE BRASILON ED NM</val>
          </value>
        </values>
      </ddeItem>
      <ddeItem name="EGIE3.Estado" advise="1">
        <values>
          <value t="str">
            <val>Normal</val>
          </value>
        </values>
      </ddeItem>
      <ddeItem name="EGIE3.Exerc" advise="1">
        <values>
          <value>
            <val>0</val>
          </value>
        </values>
      </ddeItem>
      <ddeItem name="EGIE3.Expir" advise="1">
        <values>
          <value t="nil">
            <val>1</val>
          </value>
        </values>
      </ddeItem>
      <ddeItem name="EGIE3.Fech" advise="1">
        <values cols="2">
          <value>
            <val>41</val>
          </value>
          <value>
            <val>8</val>
          </value>
        </values>
      </ddeItem>
      <ddeItem name="EGIE3.Hora" advise="1">
        <values>
          <value>
            <val>0.74994212962962958</val>
          </value>
        </values>
      </ddeItem>
      <ddeItem name="EGIE3.IbovParticip" advise="1">
        <values cols="2">
          <value>
            <val>0</val>
          </value>
          <value>
            <val>5313</val>
          </value>
        </values>
      </ddeItem>
      <ddeItem name="EGIE3.PreTeo" advise="1">
        <values>
          <value>
            <val>0</val>
          </value>
        </values>
      </ddeItem>
      <ddeItem name="EGIE3.QtdNeg" advise="1">
        <values>
          <value>
            <val>5498</val>
          </value>
        </values>
      </ddeItem>
      <ddeItem name="EGIE3.Ult" advise="1">
        <values cols="2">
          <value>
            <val>41</val>
          </value>
          <value>
            <val>12</val>
          </value>
        </values>
      </ddeItem>
      <ddeItem name="EGIE3.Var12M" advise="1">
        <values cols="2">
          <value>
            <val>12</val>
          </value>
          <value>
            <val>71</val>
          </value>
        </values>
      </ddeItem>
      <ddeItem name="EGIE3.VarAnual" advise="1">
        <values cols="2">
          <value>
            <val>12</val>
          </value>
          <value>
            <val>78</val>
          </value>
        </values>
      </ddeItem>
      <ddeItem name="EGIE3.VarMes" advise="1">
        <values cols="2">
          <value>
            <val>-5</val>
          </value>
          <value>
            <val>66</val>
          </value>
        </values>
      </ddeItem>
      <ddeItem name="EGIE3.VarPer" advise="1">
        <values cols="2">
          <value>
            <val>-1</val>
          </value>
          <value>
            <val>62</val>
          </value>
        </values>
      </ddeItem>
      <ddeItem name="EGIE3.VarSem" advise="1">
        <values cols="2">
          <value>
            <val>-1</val>
          </value>
          <value>
            <val>6</val>
          </value>
        </values>
      </ddeItem>
      <ddeItem name="EGIE3.Vol" advise="1">
        <values>
          <value>
            <val>52967564</val>
          </value>
        </values>
      </ddeItem>
      <ddeItem name="ELET3.Desc" advise="1">
        <values>
          <value t="str">
            <val>ELETROBRAS ON N1</val>
          </value>
        </values>
      </ddeItem>
      <ddeItem name="ELET3.Estado" advise="1">
        <values>
          <value t="str">
            <val>Normal</val>
          </value>
        </values>
      </ddeItem>
      <ddeItem name="ELET3.Exerc" advise="1">
        <values>
          <value>
            <val>0</val>
          </value>
        </values>
      </ddeItem>
      <ddeItem name="ELET3.Expir" advise="1">
        <values>
          <value t="nil">
            <val>1</val>
          </value>
        </values>
      </ddeItem>
      <ddeItem name="ELET3.Fech" advise="1">
        <values cols="2">
          <value>
            <val>48</val>
          </value>
          <value>
            <val>17</val>
          </value>
        </values>
      </ddeItem>
      <ddeItem name="ELET3.Hora" advise="1">
        <values>
          <value>
            <val>0.74966435185185187</val>
          </value>
        </values>
      </ddeItem>
      <ddeItem name="ELET3.IbovParticip" advise="1">
        <values cols="2">
          <value>
            <val>2</val>
          </value>
          <value>
            <val>3647</val>
          </value>
        </values>
      </ddeItem>
      <ddeItem name="ELET3.PreTeo" advise="1">
        <values>
          <value>
            <val>0</val>
          </value>
        </values>
      </ddeItem>
      <ddeItem name="ELET3.QtdNeg" advise="1">
        <values>
          <value>
            <val>33542</val>
          </value>
        </values>
      </ddeItem>
      <ddeItem name="ELET3.Ult" advise="1">
        <values cols="2">
          <value>
            <val>47</val>
          </value>
          <value>
            <val>53</val>
          </value>
        </values>
      </ddeItem>
      <ddeItem name="ELET3.Var12M" advise="1">
        <values cols="2">
          <value>
            <val>26</val>
          </value>
          <value>
            <val>98</val>
          </value>
        </values>
      </ddeItem>
      <ddeItem name="ELET3.VarAnual" advise="1">
        <values cols="2">
          <value>
            <val>44</val>
          </value>
          <value>
            <val>95</val>
          </value>
        </values>
      </ddeItem>
      <ddeItem name="ELET3.VarMes" advise="1">
        <values cols="2">
          <value>
            <val>3</val>
          </value>
          <value>
            <val>75</val>
          </value>
        </values>
      </ddeItem>
      <ddeItem name="ELET3.VarPer" advise="1">
        <values cols="2">
          <value>
            <val>-1</val>
          </value>
          <value>
            <val>32</val>
          </value>
        </values>
      </ddeItem>
      <ddeItem name="ELET3.VarSem" advise="1">
        <values cols="2">
          <value>
            <val>-1</val>
          </value>
          <value>
            <val>3</val>
          </value>
        </values>
      </ddeItem>
      <ddeItem name="ELET3.Vol" advise="1">
        <values>
          <value>
            <val>458748388</val>
          </value>
        </values>
      </ddeItem>
      <ddeItem name="ELET6.Desc" advise="1">
        <values>
          <value t="str">
            <val>ELETROBRAS PNB N1</val>
          </value>
        </values>
      </ddeItem>
      <ddeItem name="ELET6.Estado" advise="1">
        <values>
          <value t="str">
            <val>Normal</val>
          </value>
        </values>
      </ddeItem>
      <ddeItem name="ELET6.Exerc" advise="1">
        <values>
          <value>
            <val>0</val>
          </value>
        </values>
      </ddeItem>
      <ddeItem name="ELET6.Expir" advise="1">
        <values>
          <value t="nil">
            <val>1</val>
          </value>
        </values>
      </ddeItem>
      <ddeItem name="ELET6.Fech" advise="1">
        <values cols="2">
          <value>
            <val>50</val>
          </value>
          <value>
            <val>4</val>
          </value>
        </values>
      </ddeItem>
      <ddeItem name="ELET6.Hora" advise="1">
        <values>
          <value>
            <val>0.7487152777777778</val>
          </value>
        </values>
      </ddeItem>
      <ddeItem name="ELET6.IbovParticip" advise="1">
        <values cols="2">
          <value>
            <val>0</val>
          </value>
          <value>
            <val>6056</val>
          </value>
        </values>
      </ddeItem>
      <ddeItem name="ELET6.PreTeo" advise="1">
        <values>
          <value>
            <val>0</val>
          </value>
        </values>
      </ddeItem>
      <ddeItem name="ELET6.QtdNeg" advise="1">
        <values>
          <value>
            <val>11545</val>
          </value>
        </values>
      </ddeItem>
      <ddeItem name="ELET6.Ult" advise="1">
        <values cols="2">
          <value>
            <val>49</val>
          </value>
          <value>
            <val>7</val>
          </value>
        </values>
      </ddeItem>
      <ddeItem name="ELET6.Var12M" advise="1">
        <values cols="2">
          <value>
            <val>32</val>
          </value>
          <value>
            <val>9</val>
          </value>
        </values>
      </ddeItem>
      <ddeItem name="ELET6.VarAnual" advise="1">
        <values cols="2">
          <value>
            <val>54</val>
          </value>
          <value>
            <val>5</val>
          </value>
        </values>
      </ddeItem>
      <ddeItem name="ELET6.VarMes" advise="1">
        <values cols="2">
          <value>
            <val>3</val>
          </value>
          <value>
            <val>67</val>
          </value>
        </values>
      </ddeItem>
      <ddeItem name="ELET6.VarPer" advise="1">
        <values cols="2">
          <value>
            <val>-1</val>
          </value>
          <value>
            <val>93</val>
          </value>
        </values>
      </ddeItem>
      <ddeItem name="ELET6.VarSem" advise="1">
        <values cols="2">
          <value>
            <val>-1</val>
          </value>
          <value>
            <val>93</val>
          </value>
        </values>
      </ddeItem>
      <ddeItem name="ELET6.Vol" advise="1">
        <values>
          <value>
            <val>116083918</val>
          </value>
        </values>
      </ddeItem>
      <ddeItem name="EMBR3.Desc" advise="1">
        <values>
          <value t="str">
            <val>EMBRAER ON NM</val>
          </value>
        </values>
      </ddeItem>
      <ddeItem name="EMBR3.Estado" advise="1">
        <values>
          <value t="str">
            <val>Normal</val>
          </value>
        </values>
      </ddeItem>
      <ddeItem name="EMBR3.Exerc" advise="1">
        <values>
          <value>
            <val>0</val>
          </value>
        </values>
      </ddeItem>
      <ddeItem name="EMBR3.Expir" advise="1">
        <values>
          <value t="nil">
            <val>1</val>
          </value>
        </values>
      </ddeItem>
      <ddeItem name="EMBR3.Fech" advise="1">
        <values cols="2">
          <value>
            <val>14</val>
          </value>
          <value>
            <val>58</val>
          </value>
        </values>
      </ddeItem>
      <ddeItem name="EMBR3.Hora" advise="1">
        <values>
          <value>
            <val>0.74936342592592586</val>
          </value>
        </values>
      </ddeItem>
      <ddeItem name="EMBR3.IbovParticip" advise="1">
        <values cols="2">
          <value>
            <val>0</val>
          </value>
          <value>
            <val>5334</val>
          </value>
        </values>
      </ddeItem>
      <ddeItem name="EMBR3.PreTeo" advise="1">
        <values>
          <value>
            <val>0</val>
          </value>
        </values>
      </ddeItem>
      <ddeItem name="EMBR3.QtdNeg" advise="1">
        <values>
          <value>
            <val>11874</val>
          </value>
        </values>
      </ddeItem>
      <ddeItem name="EMBR3.Ult" advise="1">
        <values cols="2">
          <value>
            <val>13</val>
          </value>
          <value>
            <val>91</val>
          </value>
        </values>
      </ddeItem>
      <ddeItem name="EMBR3.Var12M" advise="1">
        <values cols="2">
          <value>
            <val>-29</val>
          </value>
          <value>
            <val>99</val>
          </value>
        </values>
      </ddeItem>
      <ddeItem name="EMBR3.VarAnual" advise="1">
        <values cols="2">
          <value>
            <val>-43</val>
          </value>
          <value>
            <val>95</val>
          </value>
        </values>
      </ddeItem>
      <ddeItem name="EMBR3.VarMes" advise="1">
        <values cols="2">
          <value>
            <val>18</val>
          </value>
          <value>
            <val>38</val>
          </value>
        </values>
      </ddeItem>
      <ddeItem name="EMBR3.VarPer" advise="1">
        <values cols="2">
          <value>
            <val>-4</val>
          </value>
          <value>
            <val>59</val>
          </value>
        </values>
      </ddeItem>
      <ddeItem name="EMBR3.VarSem" advise="1">
        <values cols="2">
          <value>
            <val>-4</val>
          </value>
          <value>
            <val>59</val>
          </value>
        </values>
      </ddeItem>
      <ddeItem name="EMBR3.Vol" advise="1">
        <values>
          <value>
            <val>85832508</val>
          </value>
        </values>
      </ddeItem>
      <ddeItem name="ENBR3.Desc" advise="1">
        <values>
          <value t="str">
            <val>ENERGIAS BR ON NM</val>
          </value>
        </values>
      </ddeItem>
      <ddeItem name="ENBR3.Estado" advise="1">
        <values>
          <value t="str">
            <val>Normal</val>
          </value>
        </values>
      </ddeItem>
      <ddeItem name="ENBR3.Exerc" advise="1">
        <values>
          <value>
            <val>0</val>
          </value>
        </values>
      </ddeItem>
      <ddeItem name="ENBR3.Expir" advise="1">
        <values>
          <value t="nil">
            <val>1</val>
          </value>
        </values>
      </ddeItem>
      <ddeItem name="ENBR3.Fech" advise="1">
        <values cols="2">
          <value>
            <val>23</val>
          </value>
          <value>
            <val>7</val>
          </value>
        </values>
      </ddeItem>
      <ddeItem name="ENBR3.Hora" advise="1">
        <values>
          <value>
            <val>0.74479166666666663</val>
          </value>
        </values>
      </ddeItem>
      <ddeItem name="ENBR3.IbovParticip" advise="1">
        <values cols="2">
          <value>
            <val>0</val>
          </value>
          <value>
            <val>2726</val>
          </value>
        </values>
      </ddeItem>
      <ddeItem name="ENBR3.PreTeo" advise="1">
        <values>
          <value>
            <val>0</val>
          </value>
        </values>
      </ddeItem>
      <ddeItem name="ENBR3.QtdNeg" advise="1">
        <values>
          <value>
            <val>6390</val>
          </value>
        </values>
      </ddeItem>
      <ddeItem name="ENBR3.Ult" advise="1">
        <values cols="2">
          <value>
            <val>23</val>
          </value>
          <value>
            <val>66</val>
          </value>
        </values>
      </ddeItem>
      <ddeItem name="ENBR3.Var12M" advise="1">
        <values cols="2">
          <value>
            <val>41</val>
          </value>
          <value>
            <val>8</val>
          </value>
        </values>
      </ddeItem>
      <ddeItem name="ENBR3.VarAnual" advise="1">
        <values>
          <value>
            <val>24</val>
          </value>
        </values>
      </ddeItem>
      <ddeItem name="ENBR3.VarMes" advise="1">
        <values cols="2">
          <value>
            <val>9</val>
          </value>
          <value>
            <val>3</val>
          </value>
        </values>
      </ddeItem>
      <ddeItem name="ENBR3.VarPer" advise="1">
        <values cols="2">
          <value>
            <val>0</val>
          </value>
          <value>
            <val>16</val>
          </value>
        </values>
      </ddeItem>
      <ddeItem name="ENBR3.VarSem" advise="1">
        <values cols="2">
          <value>
            <val>0</val>
          </value>
          <value>
            <val>16</val>
          </value>
        </values>
      </ddeItem>
      <ddeItem name="ENBR3.Vol" advise="1">
        <values>
          <value>
            <val>36822031</val>
          </value>
        </values>
      </ddeItem>
      <ddeItem name="ENEV3.Desc" advise="1">
        <values>
          <value t="str">
            <val>ENEVA ON NM</val>
          </value>
        </values>
      </ddeItem>
      <ddeItem name="ENEV3.Estado" advise="1">
        <values>
          <value t="str">
            <val>Normal</val>
          </value>
        </values>
      </ddeItem>
      <ddeItem name="ENEV3.Exerc" advise="1">
        <values>
          <value>
            <val>0</val>
          </value>
        </values>
      </ddeItem>
      <ddeItem name="ENEV3.Expir" advise="1">
        <values>
          <value t="nil">
            <val>1</val>
          </value>
        </values>
      </ddeItem>
      <ddeItem name="ENEV3.Fech" advise="1">
        <values cols="2">
          <value>
            <val>15</val>
          </value>
          <value>
            <val>42</val>
          </value>
        </values>
      </ddeItem>
      <ddeItem name="ENEV3.Hora" advise="1">
        <values>
          <value>
            <val>0.7453819444444445</val>
          </value>
        </values>
      </ddeItem>
      <ddeItem name="ENEV3.IbovParticip" advise="1">
        <values cols="2">
          <value>
            <val>1</val>
          </value>
          <value>
            <val>1961</val>
          </value>
        </values>
      </ddeItem>
      <ddeItem name="ENEV3.PreTeo" advise="1">
        <values>
          <value>
            <val>0</val>
          </value>
        </values>
      </ddeItem>
      <ddeItem name="ENEV3.QtdNeg" advise="1">
        <values>
          <value>
            <val>16479</val>
          </value>
        </values>
      </ddeItem>
      <ddeItem name="ENEV3.Ult" advise="1">
        <values cols="2">
          <value>
            <val>14</val>
          </value>
          <value>
            <val>97</val>
          </value>
        </values>
      </ddeItem>
      <ddeItem name="ENEV3.Var12M" advise="1">
        <values cols="2">
          <value>
            <val>-8</val>
          </value>
          <value>
            <val>55</val>
          </value>
        </values>
      </ddeItem>
      <ddeItem name="ENEV3.VarAnual" advise="1">
        <values cols="2">
          <value>
            <val>5</val>
          </value>
          <value>
            <val>79</val>
          </value>
        </values>
      </ddeItem>
      <ddeItem name="ENEV3.VarMes" advise="1">
        <values cols="2">
          <value>
            <val>-1</val>
          </value>
          <value>
            <val>57</val>
          </value>
        </values>
      </ddeItem>
      <ddeItem name="ENEV3.VarPer" advise="1">
        <values cols="2">
          <value>
            <val>-2</val>
          </value>
          <value>
            <val>91</val>
          </value>
        </values>
      </ddeItem>
      <ddeItem name="ENEV3.VarSem" advise="1">
        <values cols="2">
          <value>
            <val>-2</val>
          </value>
          <value>
            <val>91</val>
          </value>
        </values>
      </ddeItem>
      <ddeItem name="ENEV3.Vol" advise="1">
        <values>
          <value>
            <val>95652343</val>
          </value>
        </values>
      </ddeItem>
      <ddeItem name="ENGI11.Desc" advise="1">
        <values>
          <value t="str">
            <val>ENERGISA UNT N2</val>
          </value>
        </values>
      </ddeItem>
      <ddeItem name="ENGI11.Estado" advise="1">
        <values>
          <value t="str">
            <val>Normal</val>
          </value>
        </values>
      </ddeItem>
      <ddeItem name="ENGI11.Exerc" advise="1">
        <values>
          <value>
            <val>0</val>
          </value>
        </values>
      </ddeItem>
      <ddeItem name="ENGI11.Expir" advise="1">
        <values>
          <value t="nil">
            <val>1</val>
          </value>
        </values>
      </ddeItem>
      <ddeItem name="ENGI11.Fech" advise="1">
        <values cols="2">
          <value>
            <val>47</val>
          </value>
          <value>
            <val>5</val>
          </value>
        </values>
      </ddeItem>
      <ddeItem name="ENGI11.Hora" advise="1">
        <values>
          <value>
            <val>0.74583333333333324</val>
          </value>
        </values>
      </ddeItem>
      <ddeItem name="ENGI11.IbovParticip" advise="1">
        <values cols="2">
          <value>
            <val>0</val>
          </value>
          <value>
            <val>5822</val>
          </value>
        </values>
      </ddeItem>
      <ddeItem name="ENGI11.PreTeo" advise="1">
        <values>
          <value>
            <val>0</val>
          </value>
        </values>
      </ddeItem>
      <ddeItem name="ENGI11.QtdNeg" advise="1">
        <values>
          <value>
            <val>5667</val>
          </value>
        </values>
      </ddeItem>
      <ddeItem name="ENGI11.Ult" advise="1">
        <values cols="2">
          <value>
            <val>46</val>
          </value>
          <value>
            <val>7</val>
          </value>
        </values>
      </ddeItem>
      <ddeItem name="ENGI11.Var12M" advise="1">
        <values cols="2">
          <value>
            <val>11</val>
          </value>
          <value>
            <val>5</val>
          </value>
        </values>
      </ddeItem>
      <ddeItem name="ENGI11.VarAnual" advise="1">
        <values cols="2">
          <value>
            <val>10</val>
          </value>
          <value>
            <val>76</val>
          </value>
        </values>
      </ddeItem>
      <ddeItem name="ENGI11.VarMes" advise="1">
        <values cols="2">
          <value>
            <val>6</val>
          </value>
          <value>
            <val>3</val>
          </value>
        </values>
      </ddeItem>
      <ddeItem name="ENGI11.VarPer" advise="1">
        <values cols="2">
          <value>
            <val>0</val>
          </value>
          <value>
            <val>74</val>
          </value>
        </values>
      </ddeItem>
      <ddeItem name="ENGI11.VarSem" advise="1">
        <values cols="2">
          <value>
            <val>0</val>
          </value>
          <value>
            <val>72</val>
          </value>
        </values>
      </ddeItem>
      <ddeItem name="ENGI11.Vol" advise="1">
        <values>
          <value>
            <val>61992916</val>
          </value>
        </values>
      </ddeItem>
      <ddeItem name="EQTL3.Desc" advise="1">
        <values>
          <value t="str">
            <val>EQUATORIAL ON NM</val>
          </value>
        </values>
      </ddeItem>
      <ddeItem name="EQTL3.Estado" advise="1">
        <values>
          <value t="str">
            <val>Normal</val>
          </value>
        </values>
      </ddeItem>
      <ddeItem name="EQTL3.Exerc" advise="1">
        <values>
          <value>
            <val>0</val>
          </value>
        </values>
      </ddeItem>
      <ddeItem name="EQTL3.Expir" advise="1">
        <values>
          <value t="nil">
            <val>1</val>
          </value>
        </values>
      </ddeItem>
      <ddeItem name="EQTL3.Fech" advise="1">
        <values cols="2">
          <value>
            <val>24</val>
          </value>
          <value>
            <val>96</val>
          </value>
        </values>
      </ddeItem>
      <ddeItem name="EQTL3.Hora" advise="1">
        <values>
          <value>
            <val>0.74950231481481477</val>
          </value>
        </values>
      </ddeItem>
      <ddeItem name="EQTL3.IbovParticip" advise="1">
        <values cols="2">
          <value>
            <val>1</val>
          </value>
          <value>
            <val>368</val>
          </value>
        </values>
      </ddeItem>
      <ddeItem name="EQTL3.PreTeo" advise="1">
        <values>
          <value>
            <val>0</val>
          </value>
        </values>
      </ddeItem>
      <ddeItem name="EQTL3.QtdNeg" advise="1">
        <values>
          <value>
            <val>12933</val>
          </value>
        </values>
      </ddeItem>
      <ddeItem name="EQTL3.Ult" advise="1">
        <values cols="2">
          <value>
            <val>24</val>
          </value>
          <value>
            <val>8</val>
          </value>
        </values>
      </ddeItem>
      <ddeItem name="EQTL3.Var12M" advise="1">
        <values cols="2">
          <value>
            <val>0</val>
          </value>
          <value>
            <val>64</val>
          </value>
        </values>
      </ddeItem>
      <ddeItem name="EQTL3.VarAnual" advise="1">
        <values cols="2">
          <value>
            <val>12</val>
          </value>
          <value>
            <val>52</val>
          </value>
        </values>
      </ddeItem>
      <ddeItem name="EQTL3.VarMes" advise="1">
        <values>
          <value>
            <val>0</val>
          </value>
        </values>
      </ddeItem>
      <ddeItem name="EQTL3.VarPer" advise="1">
        <values cols="2">
          <value>
            <val>0</val>
          </value>
          <value>
            <val>64</val>
          </value>
        </values>
      </ddeItem>
      <ddeItem name="EQTL3.VarSem" advise="1">
        <values cols="2">
          <value>
            <val>0</val>
          </value>
          <value>
            <val>6</val>
          </value>
        </values>
      </ddeItem>
      <ddeItem name="EQTL3.Vol" advise="1">
        <values>
          <value>
            <val>118286026</val>
          </value>
        </values>
      </ddeItem>
      <ddeItem name="ESPA3.Desc" advise="1">
        <values>
          <value t="str">
            <val>ESPACOLASER ON NM</val>
          </value>
        </values>
      </ddeItem>
      <ddeItem name="ESPA3.Estado" advise="1">
        <values>
          <value t="str">
            <val>Normal</val>
          </value>
        </values>
      </ddeItem>
      <ddeItem name="ESPA3.Exerc" advise="1">
        <values>
          <value>
            <val>0</val>
          </value>
        </values>
      </ddeItem>
      <ddeItem name="ESPA3.Expir" advise="1">
        <values>
          <value t="nil">
            <val>1</val>
          </value>
        </values>
      </ddeItem>
      <ddeItem name="ESPA3.Fech" advise="1">
        <values cols="2">
          <value>
            <val>2</val>
          </value>
          <value>
            <val>51</val>
          </value>
        </values>
      </ddeItem>
      <ddeItem name="ESPA3.Hora" advise="1">
        <values>
          <value>
            <val>0.74979166666666675</val>
          </value>
        </values>
      </ddeItem>
      <ddeItem name="ESPA3.IbovParticip" advise="1">
        <values>
          <value>
            <val>0</val>
          </value>
        </values>
      </ddeItem>
      <ddeItem name="ESPA3.PreTeo" advise="1">
        <values>
          <value>
            <val>0</val>
          </value>
        </values>
      </ddeItem>
      <ddeItem name="ESPA3.QtdNeg" advise="1">
        <values>
          <value>
            <val>4660</val>
          </value>
        </values>
      </ddeItem>
      <ddeItem name="ESPA3.Ult" advise="1">
        <values cols="2">
          <value>
            <val>2</val>
          </value>
          <value>
            <val>4</val>
          </value>
        </values>
      </ddeItem>
      <ddeItem name="ESPA3.Var12M" advise="1">
        <values cols="2">
          <value>
            <val>-86</val>
          </value>
          <value>
            <val>5</val>
          </value>
        </values>
      </ddeItem>
      <ddeItem name="ESPA3.VarAnual" advise="1">
        <values cols="2">
          <value>
            <val>-71</val>
          </value>
          <value>
            <val>15</val>
          </value>
        </values>
      </ddeItem>
      <ddeItem name="ESPA3.VarMes" advise="1">
        <values cols="2">
          <value>
            <val>-5</val>
          </value>
          <value>
            <val>88</val>
          </value>
        </values>
      </ddeItem>
      <ddeItem name="ESPA3.VarPer" advise="1">
        <values cols="2">
          <value>
            <val>-4</val>
          </value>
          <value>
            <val>38</val>
          </value>
        </values>
      </ddeItem>
      <ddeItem name="ESPA3.VarSem" advise="1">
        <values>
          <value>
            <val>-4</val>
          </value>
        </values>
      </ddeItem>
      <ddeItem name="ESPA3.Vol" advise="1">
        <values>
          <value>
            <val>14231268</val>
          </value>
        </values>
      </ddeItem>
      <ddeItem name="ETER3.Desc" advise="1">
        <values>
          <value t="str">
            <val>ETERNIT ON EJ NM</val>
          </value>
        </values>
      </ddeItem>
      <ddeItem name="ETER3.Estado" advise="1">
        <values>
          <value t="str">
            <val>Normal</val>
          </value>
        </values>
      </ddeItem>
      <ddeItem name="ETER3.Exerc" advise="1">
        <values>
          <value>
            <val>0</val>
          </value>
        </values>
      </ddeItem>
      <ddeItem name="ETER3.Expir" advise="1">
        <values>
          <value t="nil">
            <val>1</val>
          </value>
        </values>
      </ddeItem>
      <ddeItem name="ETER3.Fech" advise="1">
        <values cols="2">
          <value>
            <val>12</val>
          </value>
          <value>
            <val>41</val>
          </value>
        </values>
      </ddeItem>
      <ddeItem name="ETER3.Hora" advise="1">
        <values>
          <value>
            <val>0.74905092592592604</val>
          </value>
        </values>
      </ddeItem>
      <ddeItem name="ETER3.IbovParticip" advise="1">
        <values>
          <value>
            <val>0</val>
          </value>
        </values>
      </ddeItem>
      <ddeItem name="ETER3.PreTeo" advise="1">
        <values>
          <value>
            <val>0</val>
          </value>
        </values>
      </ddeItem>
      <ddeItem name="ETER3.QtdNeg" advise="1">
        <values>
          <value>
            <val>2900</val>
          </value>
        </values>
      </ddeItem>
      <ddeItem name="ETER3.Ult" advise="1">
        <values cols="2">
          <value>
            <val>11</val>
          </value>
          <value>
            <val>9</val>
          </value>
        </values>
      </ddeItem>
      <ddeItem name="ETER3.Var12M" advise="1">
        <values cols="2">
          <value>
            <val>-33</val>
          </value>
          <value>
            <val>29</val>
          </value>
        </values>
      </ddeItem>
      <ddeItem name="ETER3.VarAnual" advise="1">
        <values cols="2">
          <value>
            <val>-40</val>
          </value>
          <value>
            <val>73</val>
          </value>
        </values>
      </ddeItem>
      <ddeItem name="ETER3.VarMes" advise="1">
        <values cols="2">
          <value>
            <val>7</val>
          </value>
          <value>
            <val>4</val>
          </value>
        </values>
      </ddeItem>
      <ddeItem name="ETER3.VarPer" advise="1">
        <values cols="2">
          <value>
            <val>-4</val>
          </value>
          <value>
            <val>1</val>
          </value>
        </values>
      </ddeItem>
      <ddeItem name="ETER3.VarSem" advise="1">
        <values cols="2">
          <value>
            <val>-4</val>
          </value>
          <value>
            <val>1</val>
          </value>
        </values>
      </ddeItem>
      <ddeItem name="ETER3.Vol" advise="1">
        <values>
          <value>
            <val>7682223</val>
          </value>
        </values>
      </ddeItem>
      <ddeItem name="EZTC3.Desc" advise="1">
        <values>
          <value t="str">
            <val>EZTEC ON ED NM</val>
          </value>
        </values>
      </ddeItem>
      <ddeItem name="EZTC3.Estado" advise="1">
        <values>
          <value t="str">
            <val>Normal</val>
          </value>
        </values>
      </ddeItem>
      <ddeItem name="EZTC3.Exerc" advise="1">
        <values>
          <value>
            <val>0</val>
          </value>
        </values>
      </ddeItem>
      <ddeItem name="EZTC3.Expir" advise="1">
        <values>
          <value t="nil">
            <val>1</val>
          </value>
        </values>
      </ddeItem>
      <ddeItem name="EZTC3.Fech" advise="1">
        <values cols="2">
          <value>
            <val>19</val>
          </value>
          <value>
            <val>54</val>
          </value>
        </values>
      </ddeItem>
      <ddeItem name="EZTC3.Hora" advise="1">
        <values>
          <value>
            <val>0.74675925925925923</val>
          </value>
        </values>
      </ddeItem>
      <ddeItem name="EZTC3.IbovParticip" advise="1">
        <values cols="2">
          <value>
            <val>0</val>
          </value>
          <value>
            <val>989</val>
          </value>
        </values>
      </ddeItem>
      <ddeItem name="EZTC3.PreTeo" advise="1">
        <values>
          <value>
            <val>0</val>
          </value>
        </values>
      </ddeItem>
      <ddeItem name="EZTC3.QtdNeg" advise="1">
        <values>
          <value>
            <val>6579</val>
          </value>
        </values>
      </ddeItem>
      <ddeItem name="EZTC3.Ult" advise="1">
        <values cols="2">
          <value>
            <val>18</val>
          </value>
          <value>
            <val>8</val>
          </value>
        </values>
      </ddeItem>
      <ddeItem name="EZTC3.Var12M" advise="1">
        <values cols="2">
          <value>
            <val>-24</val>
          </value>
          <value>
            <val>46</val>
          </value>
        </values>
      </ddeItem>
      <ddeItem name="EZTC3.VarAnual" advise="1">
        <values cols="2">
          <value>
            <val>-4</val>
          </value>
          <value>
            <val>66</val>
          </value>
        </values>
      </ddeItem>
      <ddeItem name="EZTC3.VarMes" advise="1">
        <values cols="2">
          <value>
            <val>11</val>
          </value>
          <value>
            <val>9</val>
          </value>
        </values>
      </ddeItem>
      <ddeItem name="EZTC3.VarPer" advise="1">
        <values cols="2">
          <value>
            <val>-3</val>
          </value>
          <value>
            <val>78</val>
          </value>
        </values>
      </ddeItem>
      <ddeItem name="EZTC3.VarSem" advise="1">
        <values cols="2">
          <value>
            <val>-3</val>
          </value>
          <value>
            <val>78</val>
          </value>
        </values>
      </ddeItem>
      <ddeItem name="EZTC3.Vol" advise="1">
        <values>
          <value>
            <val>23095312</val>
          </value>
        </values>
      </ddeItem>
      <ddeItem name="FHER3.Desc" advise="1">
        <values>
          <value t="str">
            <val>FER HERINGERON NM</val>
          </value>
        </values>
      </ddeItem>
      <ddeItem name="FHER3.Estado" advise="1">
        <values>
          <value t="str">
            <val>Normal</val>
          </value>
        </values>
      </ddeItem>
      <ddeItem name="FHER3.Exerc" advise="1">
        <values>
          <value>
            <val>0</val>
          </value>
        </values>
      </ddeItem>
      <ddeItem name="FHER3.Expir" advise="1">
        <values>
          <value t="nil">
            <val>1</val>
          </value>
        </values>
      </ddeItem>
      <ddeItem name="FHER3.Fech" advise="1">
        <values cols="2">
          <value>
            <val>15</val>
          </value>
          <value>
            <val>95</val>
          </value>
        </values>
      </ddeItem>
      <ddeItem name="FHER3.Hora" advise="1">
        <values>
          <value>
            <val>0.74826388888888884</val>
          </value>
        </values>
      </ddeItem>
      <ddeItem name="FHER3.IbovParticip" advise="1">
        <values>
          <value>
            <val>0</val>
          </value>
        </values>
      </ddeItem>
      <ddeItem name="FHER3.PreTeo" advise="1">
        <values>
          <value>
            <val>0</val>
          </value>
        </values>
      </ddeItem>
      <ddeItem name="FHER3.QtdNeg" advise="1">
        <values>
          <value>
            <val>1899</val>
          </value>
        </values>
      </ddeItem>
      <ddeItem name="FHER3.Ult" advise="1">
        <values cols="2">
          <value>
            <val>15</val>
          </value>
          <value>
            <val>6</val>
          </value>
        </values>
      </ddeItem>
      <ddeItem name="FHER3.Var12M" advise="1">
        <values cols="2">
          <value>
            <val>-4</val>
          </value>
          <value>
            <val>52</val>
          </value>
        </values>
      </ddeItem>
      <ddeItem name="FHER3.VarAnual" advise="1">
        <values cols="2">
          <value>
            <val>-15</val>
          </value>
          <value>
            <val>7</val>
          </value>
        </values>
      </ddeItem>
      <ddeItem name="FHER3.VarMes" advise="1">
        <values cols="2">
          <value>
            <val>-19</val>
          </value>
          <value>
            <val>25</val>
          </value>
        </values>
      </ddeItem>
      <ddeItem name="FHER3.VarPer" advise="1">
        <values cols="2">
          <value>
            <val>-2</val>
          </value>
          <value>
            <val>19</val>
          </value>
        </values>
      </ddeItem>
      <ddeItem name="FHER3.VarSem" advise="1">
        <values cols="2">
          <value>
            <val>-2</val>
          </value>
          <value>
            <val>19</val>
          </value>
        </values>
      </ddeItem>
      <ddeItem name="FHER3.Vol" advise="1">
        <values>
          <value>
            <val>8452053</val>
          </value>
        </values>
      </ddeItem>
      <ddeItem name="FLRY3.Desc" advise="1">
        <values>
          <value t="str">
            <val>FLEURY ON NM</val>
          </value>
        </values>
      </ddeItem>
      <ddeItem name="FLRY3.Estado" advise="1">
        <values>
          <value t="str">
            <val>Normal</val>
          </value>
        </values>
      </ddeItem>
      <ddeItem name="FLRY3.Exerc" advise="1">
        <values>
          <value>
            <val>0</val>
          </value>
        </values>
      </ddeItem>
      <ddeItem name="FLRY3.Expir" advise="1">
        <values>
          <value t="nil">
            <val>1</val>
          </value>
        </values>
      </ddeItem>
      <ddeItem name="FLRY3.Fech" advise="1">
        <values cols="2">
          <value>
            <val>16</val>
          </value>
          <value>
            <val>31</val>
          </value>
        </values>
      </ddeItem>
      <ddeItem name="FLRY3.Hora" advise="1">
        <values>
          <value>
            <val>0.74758101851851855</val>
          </value>
        </values>
      </ddeItem>
      <ddeItem name="FLRY3.IbovParticip" advise="1">
        <values cols="2">
          <value>
            <val>0</val>
          </value>
          <value>
            <val>2464</val>
          </value>
        </values>
      </ddeItem>
      <ddeItem name="FLRY3.PreTeo" advise="1">
        <values>
          <value>
            <val>0</val>
          </value>
        </values>
      </ddeItem>
      <ddeItem name="FLRY3.QtdNeg" advise="1">
        <values>
          <value>
            <val>4250</val>
          </value>
        </values>
      </ddeItem>
      <ddeItem name="FLRY3.Ult" advise="1">
        <values cols="2">
          <value>
            <val>16</val>
          </value>
          <value>
            <val>9</val>
          </value>
        </values>
      </ddeItem>
      <ddeItem name="FLRY3.Var12M" advise="1">
        <values cols="2">
          <value>
            <val>-30</val>
          </value>
          <value>
            <val>28</val>
          </value>
        </values>
      </ddeItem>
      <ddeItem name="FLRY3.VarAnual" advise="1">
        <values cols="2">
          <value>
            <val>-6</val>
          </value>
          <value>
            <val>61</val>
          </value>
        </values>
      </ddeItem>
      <ddeItem name="FLRY3.VarMes" advise="1">
        <values cols="2">
          <value>
            <val>0</val>
          </value>
          <value>
            <val>49</val>
          </value>
        </values>
      </ddeItem>
      <ddeItem name="FLRY3.VarPer" advise="1">
        <values cols="2">
          <value>
            <val>-1</val>
          </value>
          <value>
            <val>34</val>
          </value>
        </values>
      </ddeItem>
      <ddeItem name="FLRY3.VarSem" advise="1">
        <values cols="2">
          <value>
            <val>-1</val>
          </value>
          <value>
            <val>28</val>
          </value>
        </values>
      </ddeItem>
      <ddeItem name="FLRY3.Vol" advise="1">
        <values>
          <value>
            <val>15135544</val>
          </value>
        </values>
      </ddeItem>
      <ddeItem name="GGBR4.Desc" advise="1">
        <values>
          <value t="str">
            <val>GERDAU PN ED N1</val>
          </value>
        </values>
      </ddeItem>
      <ddeItem name="GGBR4.Estado" advise="1">
        <values>
          <value t="str">
            <val>Normal</val>
          </value>
        </values>
      </ddeItem>
      <ddeItem name="GGBR4.Exerc" advise="1">
        <values>
          <value>
            <val>0</val>
          </value>
        </values>
      </ddeItem>
      <ddeItem name="GGBR4.Expir" advise="1">
        <values>
          <value t="nil">
            <val>1</val>
          </value>
        </values>
      </ddeItem>
      <ddeItem name="GGBR4.Fech" advise="1">
        <values cols="2">
          <value>
            <val>23</val>
          </value>
          <value>
            <val>73</val>
          </value>
        </values>
      </ddeItem>
      <ddeItem name="GGBR4.Hora" advise="1">
        <values>
          <value>
            <val>0.74994212962962958</val>
          </value>
        </values>
      </ddeItem>
      <ddeItem name="GGBR4.IbovParticip" advise="1">
        <values cols="2">
          <value>
            <val>1</val>
          </value>
          <value>
            <val>2971</val>
          </value>
        </values>
      </ddeItem>
      <ddeItem name="GGBR4.PreTeo" advise="1">
        <values>
          <value>
            <val>0</val>
          </value>
        </values>
      </ddeItem>
      <ddeItem name="GGBR4.QtdNeg" advise="1">
        <values>
          <value>
            <val>27722</val>
          </value>
        </values>
      </ddeItem>
      <ddeItem name="GGBR4.Ult" advise="1">
        <values cols="2">
          <value>
            <val>23</val>
          </value>
          <value>
            <val>38</val>
          </value>
        </values>
      </ddeItem>
      <ddeItem name="GGBR4.Var12M" advise="1">
        <values cols="2">
          <value>
            <val>-3</val>
          </value>
          <value>
            <val>58</val>
          </value>
        </values>
      </ddeItem>
      <ddeItem name="GGBR4.VarAnual" advise="1">
        <values cols="2">
          <value>
            <val>-9</val>
          </value>
          <value>
            <val>62</val>
          </value>
        </values>
      </ddeItem>
      <ddeItem name="GGBR4.VarMes" advise="1">
        <values cols="2">
          <value>
            <val>-1</val>
          </value>
          <value>
            <val>68</val>
          </value>
        </values>
      </ddeItem>
      <ddeItem name="GGBR4.VarPer" advise="1">
        <values cols="2">
          <value>
            <val>-1</val>
          </value>
          <value>
            <val>47</val>
          </value>
        </values>
      </ddeItem>
      <ddeItem name="GGBR4.VarSem" advise="1">
        <values cols="2">
          <value>
            <val>-1</val>
          </value>
          <value>
            <val>47</val>
          </value>
        </values>
      </ddeItem>
      <ddeItem name="GGBR4.Vol" advise="1">
        <values>
          <value>
            <val>279300128</val>
          </value>
        </values>
      </ddeItem>
      <ddeItem name="GMAT3.Desc" advise="1">
        <values>
          <value t="str">
            <val>GRUPO MATEUSON NM</val>
          </value>
        </values>
      </ddeItem>
      <ddeItem name="GMAT3.Estado" advise="1">
        <values>
          <value t="str">
            <val>Normal</val>
          </value>
        </values>
      </ddeItem>
      <ddeItem name="GMAT3.Exerc" advise="1">
        <values>
          <value>
            <val>0</val>
          </value>
        </values>
      </ddeItem>
      <ddeItem name="GMAT3.Expir" advise="1">
        <values>
          <value t="nil">
            <val>1</val>
          </value>
        </values>
      </ddeItem>
      <ddeItem name="GMAT3.Fech" advise="1">
        <values cols="2">
          <value>
            <val>6</val>
          </value>
          <value>
            <val>12</val>
          </value>
        </values>
      </ddeItem>
      <ddeItem name="GMAT3.Hora" advise="1">
        <values>
          <value>
            <val>0.74980324074074067</val>
          </value>
        </values>
      </ddeItem>
      <ddeItem name="GMAT3.IbovParticip" advise="1">
        <values>
          <value>
            <val>0</val>
          </value>
        </values>
      </ddeItem>
      <ddeItem name="GMAT3.PreTeo" advise="1">
        <values>
          <value>
            <val>0</val>
          </value>
        </values>
      </ddeItem>
      <ddeItem name="GMAT3.QtdNeg" advise="1">
        <values>
          <value>
            <val>16028</val>
          </value>
        </values>
      </ddeItem>
      <ddeItem name="GMAT3.Ult" advise="1">
        <values cols="2">
          <value>
            <val>5</val>
          </value>
          <value>
            <val>94</val>
          </value>
        </values>
      </ddeItem>
      <ddeItem name="GMAT3.Var12M" advise="1">
        <values cols="2">
          <value>
            <val>-21</val>
          </value>
          <value>
            <val>94</val>
          </value>
        </values>
      </ddeItem>
      <ddeItem name="GMAT3.VarAnual" advise="1">
        <values cols="2">
          <value>
            <val>-1</val>
          </value>
          <value>
            <val>49</val>
          </value>
        </values>
      </ddeItem>
      <ddeItem name="GMAT3.VarMes" advise="1">
        <values cols="2">
          <value>
            <val>38</val>
          </value>
          <value>
            <val>46</val>
          </value>
        </values>
      </ddeItem>
      <ddeItem name="GMAT3.VarPer" advise="1">
        <values cols="2">
          <value>
            <val>-2</val>
          </value>
          <value>
            <val>94</val>
          </value>
        </values>
      </ddeItem>
      <ddeItem name="GMAT3.VarSem" advise="1">
        <values cols="2">
          <value>
            <val>-2</val>
          </value>
          <value>
            <val>94</val>
          </value>
        </values>
      </ddeItem>
      <ddeItem name="GMAT3.Vol" advise="1">
        <values>
          <value>
            <val>48142906</val>
          </value>
        </values>
      </ddeItem>
      <ddeItem name="GMCO34.Desc" advise="1">
        <values>
          <value t="str">
            <val>GENERAL MOT DRN</val>
          </value>
        </values>
      </ddeItem>
      <ddeItem name="GMCO34.Estado" advise="1">
        <values>
          <value t="str">
            <val>Normal</val>
          </value>
        </values>
      </ddeItem>
      <ddeItem name="GMCO34.Exerc" advise="1">
        <values>
          <value>
            <val>0</val>
          </value>
        </values>
      </ddeItem>
      <ddeItem name="GMCO34.Expir" advise="1">
        <values>
          <value t="nil">
            <val>1</val>
          </value>
        </values>
      </ddeItem>
      <ddeItem name="GMCO34.Fech" advise="1">
        <values cols="2">
          <value>
            <val>51</val>
          </value>
          <value>
            <val>15</val>
          </value>
        </values>
      </ddeItem>
      <ddeItem name="GMCO34.Hora" advise="1">
        <values>
          <value>
            <val>0.70325231481481476</val>
          </value>
        </values>
      </ddeItem>
      <ddeItem name="GMCO34.IbovParticip" advise="1">
        <values>
          <value>
            <val>0</val>
          </value>
        </values>
      </ddeItem>
      <ddeItem name="GMCO34.PreTeo" advise="1">
        <values>
          <value>
            <val>0</val>
          </value>
        </values>
      </ddeItem>
      <ddeItem name="GMCO34.QtdNeg" advise="1">
        <values>
          <value>
            <val>37</val>
          </value>
        </values>
      </ddeItem>
      <ddeItem name="GMCO34.Ult" advise="1">
        <values cols="2">
          <value>
            <val>49</val>
          </value>
          <value>
            <val>75</val>
          </value>
        </values>
      </ddeItem>
      <ddeItem name="GMCO34.Var12M" advise="1">
        <values cols="2">
          <value>
            <val>-24</val>
          </value>
          <value>
            <val>47</val>
          </value>
        </values>
      </ddeItem>
      <ddeItem name="GMCO34.VarAnual" advise="1">
        <values cols="2">
          <value>
            <val>-38</val>
          </value>
          <value>
            <val>12</val>
          </value>
        </values>
      </ddeItem>
      <ddeItem name="GMCO34.VarMes" advise="1">
        <values cols="2">
          <value>
            <val>5</val>
          </value>
          <value>
            <val>76</val>
          </value>
        </values>
      </ddeItem>
      <ddeItem name="GMCO34.VarPer" advise="1">
        <values cols="2">
          <value>
            <val>-2</val>
          </value>
          <value>
            <val>73</val>
          </value>
        </values>
      </ddeItem>
      <ddeItem name="GMCO34.VarSem" advise="1">
        <values cols="2">
          <value>
            <val>-2</val>
          </value>
          <value>
            <val>73</val>
          </value>
        </values>
      </ddeItem>
      <ddeItem name="GMCO34.Vol" advise="1">
        <values>
          <value>
            <val>313452</val>
          </value>
        </values>
      </ddeItem>
      <ddeItem name="GOAU4.Desc" advise="1">
        <values>
          <value t="str">
            <val>GERDAU MET PN ED N1</val>
          </value>
        </values>
      </ddeItem>
      <ddeItem name="GOAU4.Estado" advise="1">
        <values>
          <value t="str">
            <val>Normal</val>
          </value>
        </values>
      </ddeItem>
      <ddeItem name="GOAU4.Exerc" advise="1">
        <values>
          <value>
            <val>0</val>
          </value>
        </values>
      </ddeItem>
      <ddeItem name="GOAU4.Expir" advise="1">
        <values>
          <value t="nil">
            <val>1</val>
          </value>
        </values>
      </ddeItem>
      <ddeItem name="GOAU4.Fech" advise="1">
        <values cols="2">
          <value>
            <val>9</val>
          </value>
          <value>
            <val>91</val>
          </value>
        </values>
      </ddeItem>
      <ddeItem name="GOAU4.Hora" advise="1">
        <values>
          <value>
            <val>0.74909722222222219</val>
          </value>
        </values>
      </ddeItem>
      <ddeItem name="GOAU4.IbovParticip" advise="1">
        <values cols="2">
          <value>
            <val>0</val>
          </value>
          <value>
            <val>3446</val>
          </value>
        </values>
      </ddeItem>
      <ddeItem name="GOAU4.PreTeo" advise="1">
        <values>
          <value>
            <val>0</val>
          </value>
        </values>
      </ddeItem>
      <ddeItem name="GOAU4.QtdNeg" advise="1">
        <values>
          <value>
            <val>9316</val>
          </value>
        </values>
      </ddeItem>
      <ddeItem name="GOAU4.Ult" advise="1">
        <values cols="2">
          <value>
            <val>9</val>
          </value>
          <value>
            <val>78</val>
          </value>
        </values>
      </ddeItem>
      <ddeItem name="GOAU4.Var12M" advise="1">
        <values cols="2">
          <value>
            <val>-4</val>
          </value>
          <value>
            <val>49</val>
          </value>
        </values>
      </ddeItem>
      <ddeItem name="GOAU4.VarAnual" advise="1">
        <values cols="2">
          <value>
            <val>-8</val>
          </value>
          <value>
            <val>25</val>
          </value>
        </values>
      </ddeItem>
      <ddeItem name="GOAU4.VarMes" advise="1">
        <values cols="2">
          <value>
            <val>-1</val>
          </value>
          <value>
            <val>1</val>
          </value>
        </values>
      </ddeItem>
      <ddeItem name="GOAU4.VarPer" advise="1">
        <values cols="2">
          <value>
            <val>-1</val>
          </value>
          <value>
            <val>31</val>
          </value>
        </values>
      </ddeItem>
      <ddeItem name="GOAU4.VarSem" advise="1">
        <values cols="2">
          <value>
            <val>-1</val>
          </value>
          <value>
            <val>31</val>
          </value>
        </values>
      </ddeItem>
      <ddeItem name="GOAU4.Vol" advise="1">
        <values>
          <value>
            <val>49656452</val>
          </value>
        </values>
      </ddeItem>
      <ddeItem name="GOGL34.Desc" advise="1">
        <values>
          <value t="str">
            <val>ALPHABET DRN A</val>
          </value>
        </values>
      </ddeItem>
      <ddeItem name="GOGL34.Estado" advise="1">
        <values>
          <value t="str">
            <val>Normal</val>
          </value>
        </values>
      </ddeItem>
      <ddeItem name="GOGL34.Exerc" advise="1">
        <values>
          <value>
            <val>0</val>
          </value>
        </values>
      </ddeItem>
      <ddeItem name="GOGL34.Expir" advise="1">
        <values>
          <value t="nil">
            <val>1</val>
          </value>
        </values>
      </ddeItem>
      <ddeItem name="GOGL34.Fech" advise="1">
        <values cols="2">
          <value>
            <val>4</val>
          </value>
          <value>
            <val>6</val>
          </value>
        </values>
      </ddeItem>
      <ddeItem name="GOGL34.Hora" advise="1">
        <values>
          <value>
            <val>0.74979166666666675</val>
          </value>
        </values>
      </ddeItem>
      <ddeItem name="GOGL34.IbovParticip" advise="1">
        <values>
          <value>
            <val>0</val>
          </value>
        </values>
      </ddeItem>
      <ddeItem name="GOGL34.PreTeo" advise="1">
        <values>
          <value>
            <val>0</val>
          </value>
        </values>
      </ddeItem>
      <ddeItem name="GOGL34.QtdNeg" advise="1">
        <values>
          <value>
            <val>4561</val>
          </value>
        </values>
      </ddeItem>
      <ddeItem name="GOGL34.Ult" advise="1">
        <values cols="2">
          <value>
            <val>3</val>
          </value>
          <value>
            <val>95</val>
          </value>
        </values>
      </ddeItem>
      <ddeItem name="GOGL34.Var12M" advise="1">
        <values cols="2">
          <value>
            <val>-20</val>
          </value>
          <value>
            <val>4</val>
          </value>
        </values>
      </ddeItem>
      <ddeItem name="GOGL34.VarAnual" advise="1">
        <values cols="2">
          <value>
            <val>-26</val>
          </value>
          <value>
            <val>85</val>
          </value>
        </values>
      </ddeItem>
      <ddeItem name="GOGL34.VarMes" advise="1">
        <values>
          <value>
            <val>-1</val>
          </value>
        </values>
      </ddeItem>
      <ddeItem name="GOGL34.VarPer" advise="1">
        <values cols="2">
          <value>
            <val>-2</val>
          </value>
          <value>
            <val>7</val>
          </value>
        </values>
      </ddeItem>
      <ddeItem name="GOGL34.VarSem" advise="1">
        <values cols="2">
          <value>
            <val>-2</val>
          </value>
          <value>
            <val>46</val>
          </value>
        </values>
      </ddeItem>
      <ddeItem name="GOGL34.Vol" advise="1">
        <values>
          <value>
            <val>13882014</val>
          </value>
        </values>
      </ddeItem>
      <ddeItem name="GOLL4.Desc" advise="1">
        <values>
          <value t="str">
            <val>GOL PN N2</val>
          </value>
        </values>
      </ddeItem>
      <ddeItem name="GOLL4.Estado" advise="1">
        <values>
          <value t="str">
            <val>Normal</val>
          </value>
        </values>
      </ddeItem>
      <ddeItem name="GOLL4.Exerc" advise="1">
        <values>
          <value>
            <val>0</val>
          </value>
        </values>
      </ddeItem>
      <ddeItem name="GOLL4.Expir" advise="1">
        <values>
          <value t="nil">
            <val>1</val>
          </value>
        </values>
      </ddeItem>
      <ddeItem name="GOLL4.Fech" advise="1">
        <values cols="2">
          <value>
            <val>10</val>
          </value>
          <value>
            <val>42</val>
          </value>
        </values>
      </ddeItem>
      <ddeItem name="GOLL4.Hora" advise="1">
        <values>
          <value>
            <val>0.74899305555555562</val>
          </value>
        </values>
      </ddeItem>
      <ddeItem name="GOLL4.IbovParticip" advise="1">
        <values cols="2">
          <value>
            <val>0</val>
          </value>
          <value>
            <val>867</val>
          </value>
        </values>
      </ddeItem>
      <ddeItem name="GOLL4.PreTeo" advise="1">
        <values>
          <value>
            <val>0</val>
          </value>
        </values>
      </ddeItem>
      <ddeItem name="GOLL4.QtdNeg" advise="1">
        <values>
          <value>
            <val>8973</val>
          </value>
        </values>
      </ddeItem>
      <ddeItem name="GOLL4.Ult" advise="1">
        <values cols="2">
          <value>
            <val>10</val>
          </value>
          <value>
            <val>27</val>
          </value>
        </values>
      </ddeItem>
      <ddeItem name="GOLL4.Var12M" advise="1">
        <values cols="2">
          <value>
            <val>-43</val>
          </value>
          <value>
            <val>57</val>
          </value>
        </values>
      </ddeItem>
      <ddeItem name="GOLL4.VarAnual" advise="1">
        <values cols="2">
          <value>
            <val>-39</val>
          </value>
          <value>
            <val>69</val>
          </value>
        </values>
      </ddeItem>
      <ddeItem name="GOLL4.VarMes" advise="1">
        <values cols="2">
          <value>
            <val>22</val>
          </value>
          <value>
            <val>84</val>
          </value>
        </values>
      </ddeItem>
      <ddeItem name="GOLL4.VarPer" advise="1">
        <values cols="2">
          <value>
            <val>-1</val>
          </value>
          <value>
            <val>43</val>
          </value>
        </values>
      </ddeItem>
      <ddeItem name="GOLL4.VarSem" advise="1">
        <values cols="2">
          <value>
            <val>-1</val>
          </value>
          <value>
            <val>43</val>
          </value>
        </values>
      </ddeItem>
      <ddeItem name="GOLL4.Vol" advise="1">
        <values>
          <value>
            <val>64100796</val>
          </value>
        </values>
      </ddeItem>
      <ddeItem name="HAPV3.Desc" advise="1">
        <values>
          <value t="str">
            <val>HAPVIDA ON NM</val>
          </value>
        </values>
      </ddeItem>
      <ddeItem name="HAPV3.Estado" advise="1">
        <values>
          <value t="str">
            <val>Normal</val>
          </value>
        </values>
      </ddeItem>
      <ddeItem name="HAPV3.Exerc" advise="1">
        <values>
          <value>
            <val>0</val>
          </value>
        </values>
      </ddeItem>
      <ddeItem name="HAPV3.Expir" advise="1">
        <values>
          <value t="nil">
            <val>1</val>
          </value>
        </values>
      </ddeItem>
      <ddeItem name="HAPV3.Fech" advise="1">
        <values cols="2">
          <value>
            <val>7</val>
          </value>
          <value>
            <val>66</val>
          </value>
        </values>
      </ddeItem>
      <ddeItem name="HAPV3.Hora" advise="1">
        <values>
          <value>
            <val>0.74974537037037037</val>
          </value>
        </values>
      </ddeItem>
      <ddeItem name="HAPV3.IbovParticip" advise="1">
        <values cols="2">
          <value>
            <val>1</val>
          </value>
          <value>
            <val>6994</val>
          </value>
        </values>
      </ddeItem>
      <ddeItem name="HAPV3.PreTeo" advise="1">
        <values>
          <value>
            <val>0</val>
          </value>
        </values>
      </ddeItem>
      <ddeItem name="HAPV3.QtdNeg" advise="1">
        <values>
          <value>
            <val>31618</val>
          </value>
        </values>
      </ddeItem>
      <ddeItem name="HAPV3.Ult" advise="1">
        <values cols="2">
          <value>
            <val>7</val>
          </value>
          <value>
            <val>29</val>
          </value>
        </values>
      </ddeItem>
      <ddeItem name="HAPV3.Var12M" advise="1">
        <values cols="2">
          <value>
            <val>-52</val>
          </value>
          <value>
            <val>99</val>
          </value>
        </values>
      </ddeItem>
      <ddeItem name="HAPV3.VarAnual" advise="1">
        <values cols="2">
          <value>
            <val>-29</val>
          </value>
          <value>
            <val>76</val>
          </value>
        </values>
      </ddeItem>
      <ddeItem name="HAPV3.VarMes" advise="1">
        <values cols="2">
          <value>
            <val>18</val>
          </value>
          <value>
            <val>34</val>
          </value>
        </values>
      </ddeItem>
      <ddeItem name="HAPV3.VarPer" advise="1">
        <values cols="2">
          <value>
            <val>-4</val>
          </value>
          <value>
            <val>83</val>
          </value>
        </values>
      </ddeItem>
      <ddeItem name="HAPV3.VarSem" advise="1">
        <values cols="2">
          <value>
            <val>-4</val>
          </value>
          <value>
            <val>83</val>
          </value>
        </values>
      </ddeItem>
      <ddeItem name="HAPV3.Vol" advise="1">
        <values>
          <value>
            <val>310529532</val>
          </value>
        </values>
      </ddeItem>
      <ddeItem name="HBSA3.Desc" advise="1">
        <values>
          <value t="str">
            <val>HIDROVIAS ON NM</val>
          </value>
        </values>
      </ddeItem>
      <ddeItem name="HBSA3.Estado" advise="1">
        <values>
          <value t="str">
            <val>Normal</val>
          </value>
        </values>
      </ddeItem>
      <ddeItem name="HBSA3.Exerc" advise="1">
        <values>
          <value>
            <val>0</val>
          </value>
        </values>
      </ddeItem>
      <ddeItem name="HBSA3.Expir" advise="1">
        <values>
          <value t="nil">
            <val>1</val>
          </value>
        </values>
      </ddeItem>
      <ddeItem name="HBSA3.Fech" advise="1">
        <values cols="2">
          <value>
            <val>2</val>
          </value>
          <value>
            <val>26</val>
          </value>
        </values>
      </ddeItem>
      <ddeItem name="HBSA3.Hora" advise="1">
        <values>
          <value>
            <val>0.73883101851851851</val>
          </value>
        </values>
      </ddeItem>
      <ddeItem name="HBSA3.IbovParticip" advise="1">
        <values>
          <value>
            <val>0</val>
          </value>
        </values>
      </ddeItem>
      <ddeItem name="HBSA3.PreTeo" advise="1">
        <values>
          <value>
            <val>0</val>
          </value>
        </values>
      </ddeItem>
      <ddeItem name="HBSA3.QtdNeg" advise="1">
        <values>
          <value>
            <val>10613</val>
          </value>
        </values>
      </ddeItem>
      <ddeItem name="HBSA3.Ult" advise="1">
        <values cols="2">
          <value>
            <val>2</val>
          </value>
          <value>
            <val>29</val>
          </value>
        </values>
      </ddeItem>
      <ddeItem name="HBSA3.Var12M" advise="1">
        <values cols="2">
          <value>
            <val>-51</val>
          </value>
          <value>
            <val>89</val>
          </value>
        </values>
      </ddeItem>
      <ddeItem name="HBSA3.VarAnual" advise="1">
        <values cols="2">
          <value>
            <val>-33</val>
          </value>
          <value>
            <val>62</val>
          </value>
        </values>
      </ddeItem>
      <ddeItem name="HBSA3.VarMes" advise="1">
        <values cols="2">
          <value>
            <val>2</val>
          </value>
          <value>
            <val>69</val>
          </value>
        </values>
      </ddeItem>
      <ddeItem name="HBSA3.VarPer" advise="1">
        <values cols="2">
          <value>
            <val>1</val>
          </value>
          <value>
            <val>32</val>
          </value>
        </values>
      </ddeItem>
      <ddeItem name="HBSA3.VarSem" advise="1">
        <values cols="2">
          <value>
            <val>1</val>
          </value>
          <value>
            <val>77</val>
          </value>
        </values>
      </ddeItem>
      <ddeItem name="HBSA3.Vol" advise="1">
        <values>
          <value>
            <val>13694285</val>
          </value>
        </values>
      </ddeItem>
      <ddeItem name="HYPE3.Desc" advise="1">
        <values>
          <value t="str">
            <val>HYPERA ON NM</val>
          </value>
        </values>
      </ddeItem>
      <ddeItem name="HYPE3.Estado" advise="1">
        <values>
          <value t="str">
            <val>Normal</val>
          </value>
        </values>
      </ddeItem>
      <ddeItem name="HYPE3.Exerc" advise="1">
        <values>
          <value>
            <val>0</val>
          </value>
        </values>
      </ddeItem>
      <ddeItem name="HYPE3.Expir" advise="1">
        <values>
          <value t="nil">
            <val>1</val>
          </value>
        </values>
      </ddeItem>
      <ddeItem name="HYPE3.Fech" advise="1">
        <values cols="2">
          <value>
            <val>41</val>
          </value>
          <value>
            <val>77</val>
          </value>
        </values>
      </ddeItem>
      <ddeItem name="HYPE3.Hora" advise="1">
        <values>
          <value>
            <val>0.74997685185185192</val>
          </value>
        </values>
      </ddeItem>
      <ddeItem name="HYPE3.IbovParticip" advise="1">
        <values cols="2">
          <value>
            <val>0</val>
          </value>
          <value>
            <val>8534</val>
          </value>
        </values>
      </ddeItem>
      <ddeItem name="HYPE3.PreTeo" advise="1">
        <values>
          <value>
            <val>0</val>
          </value>
        </values>
      </ddeItem>
      <ddeItem name="HYPE3.QtdNeg" advise="1">
        <values>
          <value>
            <val>11635</val>
          </value>
        </values>
      </ddeItem>
      <ddeItem name="HYPE3.Ult" advise="1">
        <values cols="2">
          <value>
            <val>42</val>
          </value>
          <value>
            <val>47</val>
          </value>
        </values>
      </ddeItem>
      <ddeItem name="HYPE3.Var12M" advise="1">
        <values cols="2">
          <value>
            <val>23</val>
          </value>
          <value>
            <val>53</val>
          </value>
        </values>
      </ddeItem>
      <ddeItem name="HYPE3.VarAnual" advise="1">
        <values cols="2">
          <value>
            <val>52</val>
          </value>
          <value>
            <val>33</val>
          </value>
        </values>
      </ddeItem>
      <ddeItem name="HYPE3.VarMes" advise="1">
        <values cols="2">
          <value>
            <val>0</val>
          </value>
          <value>
            <val>28</val>
          </value>
        </values>
      </ddeItem>
      <ddeItem name="HYPE3.VarPer" advise="1">
        <values cols="2">
          <value>
            <val>1</val>
          </value>
          <value>
            <val>67</val>
          </value>
        </values>
      </ddeItem>
      <ddeItem name="HYPE3.VarSem" advise="1">
        <values cols="2">
          <value>
            <val>1</val>
          </value>
          <value>
            <val>67</val>
          </value>
        </values>
      </ddeItem>
      <ddeItem name="HYPE3.Vol" advise="1">
        <values>
          <value>
            <val>110493950</val>
          </value>
        </values>
      </ddeItem>
      <ddeItem name="IBOV.Desc" advise="1">
        <values>
          <value t="str">
            <val>IBOVESPA</val>
          </value>
        </values>
      </ddeItem>
      <ddeItem name="IBOV.Estado" advise="1">
        <values>
          <value t="str">
            <val>Normal</val>
          </value>
        </values>
      </ddeItem>
      <ddeItem name="IBOV.Exerc" advise="1">
        <values>
          <value>
            <val>0</val>
          </value>
        </values>
      </ddeItem>
      <ddeItem name="IBOV.Expir" advise="1">
        <values>
          <value t="nil">
            <val>1</val>
          </value>
        </values>
      </ddeItem>
      <ddeItem name="IBOV.Fech" advise="1">
        <values cols="2">
          <value>
            <val>111496</val>
          </value>
          <value>
            <val>21</val>
          </value>
        </values>
      </ddeItem>
      <ddeItem name="IBOV.Hora" advise="1">
        <values>
          <value>
            <val>0.72152777777777777</val>
          </value>
        </values>
      </ddeItem>
      <ddeItem name="IBOV.IbovParticip" advise="1">
        <values>
          <value>
            <val>0</val>
          </value>
        </values>
      </ddeItem>
      <ddeItem name="IBOV.PreTeo" advise="1">
        <values>
          <value>
            <val>0</val>
          </value>
        </values>
      </ddeItem>
      <ddeItem name="IBOV.QtdNeg" advise="1">
        <values>
          <value>
            <val>1670039</val>
          </value>
        </values>
      </ddeItem>
      <ddeItem name="IBOV.Ult" advise="1">
        <values cols="2">
          <value>
            <val>110500</val>
          </value>
          <value>
            <val>53</val>
          </value>
        </values>
      </ddeItem>
      <ddeItem name="IBOV.Var12M" advise="1">
        <values cols="2">
          <value>
            <val>-6</val>
          </value>
          <value>
            <val>39</val>
          </value>
        </values>
      </ddeItem>
      <ddeItem name="IBOV.VarAnual" advise="1">
        <values cols="2">
          <value>
            <val>5</val>
          </value>
          <value>
            <val>41</val>
          </value>
        </values>
      </ddeItem>
      <ddeItem name="IBOV.VarMes" advise="1">
        <values cols="2">
          <value>
            <val>7</val>
          </value>
          <value>
            <val>11</val>
          </value>
        </values>
      </ddeItem>
      <ddeItem name="IBOV.VarPer" advise="1">
        <values cols="2">
          <value>
            <val>0</val>
          </value>
          <value>
            <val>89</val>
          </value>
        </values>
      </ddeItem>
      <ddeItem name="IBOV.VarSem" advise="1">
        <values cols="2">
          <value>
            <val>0</val>
          </value>
          <value>
            <val>89</val>
          </value>
        </values>
      </ddeItem>
      <ddeItem name="IBOV.Vol" advise="1">
        <values>
          <value>
            <val>17709421287</val>
          </value>
        </values>
      </ddeItem>
      <ddeItem name="IGTI11.Desc" advise="1">
        <values>
          <value t="str">
            <val>IGUATEMI S.AUNT N1</val>
          </value>
        </values>
      </ddeItem>
      <ddeItem name="IGTI11.Estado" advise="1">
        <values>
          <value t="str">
            <val>Normal</val>
          </value>
        </values>
      </ddeItem>
      <ddeItem name="IGTI11.Exerc" advise="1">
        <values>
          <value>
            <val>0</val>
          </value>
        </values>
      </ddeItem>
      <ddeItem name="IGTI11.Expir" advise="1">
        <values>
          <value t="nil">
            <val>1</val>
          </value>
        </values>
      </ddeItem>
      <ddeItem name="IGTI11.Fech" advise="1">
        <values cols="2">
          <value>
            <val>20</val>
          </value>
          <value>
            <val>74</val>
          </value>
        </values>
      </ddeItem>
      <ddeItem name="IGTI11.Hora" advise="1">
        <values>
          <value>
            <val>0.74986111111111109</val>
          </value>
        </values>
      </ddeItem>
      <ddeItem name="IGTI11.IbovParticip" advise="1">
        <values cols="2">
          <value>
            <val>0</val>
          </value>
          <value>
            <val>1859</val>
          </value>
        </values>
      </ddeItem>
      <ddeItem name="IGTI11.PreTeo" advise="1">
        <values>
          <value>
            <val>0</val>
          </value>
        </values>
      </ddeItem>
      <ddeItem name="IGTI11.QtdNeg" advise="1">
        <values>
          <value>
            <val>11983</val>
          </value>
        </values>
      </ddeItem>
      <ddeItem name="IGTI11.Ult" advise="1">
        <values cols="2">
          <value>
            <val>20</val>
          </value>
          <value>
            <val>73</val>
          </value>
        </values>
      </ddeItem>
      <ddeItem name="IGTI11.Var12M" advise="1">
        <values cols="2">
          <value>
            <val>0</val>
          </value>
          <value>
            <val>1</val>
          </value>
        </values>
      </ddeItem>
      <ddeItem name="IGTI11.VarAnual" advise="1">
        <values cols="2">
          <value>
            <val>16</val>
          </value>
          <value>
            <val>65</val>
          </value>
        </values>
      </ddeItem>
      <ddeItem name="IGTI11.VarMes" advise="1">
        <values cols="2">
          <value>
            <val>4</val>
          </value>
          <value>
            <val>9</val>
          </value>
        </values>
      </ddeItem>
      <ddeItem name="IGTI11.VarPer" advise="1">
        <values cols="2">
          <value>
            <val>0</val>
          </value>
          <value>
            <val>4</val>
          </value>
        </values>
      </ddeItem>
      <ddeItem name="IGTI11.VarSem" advise="1">
        <values cols="2">
          <value>
            <val>0</val>
          </value>
          <value>
            <val>4</val>
          </value>
        </values>
      </ddeItem>
      <ddeItem name="IGTI11.Vol" advise="1">
        <values>
          <value>
            <val>33364322</val>
          </value>
        </values>
      </ddeItem>
      <ddeItem name="IGTI11T.Desc" advise="1">
        <values>
          <value t="str">
            <val>IGUATEMI S.AUNT N1</val>
          </value>
        </values>
      </ddeItem>
      <ddeItem name="IGTI11T.Estado" advise="1">
        <values>
          <value t="str">
            <val>Normal</val>
          </value>
        </values>
      </ddeItem>
      <ddeItem name="IGTI11T.Exerc" advise="1">
        <values>
          <value>
            <val>0</val>
          </value>
        </values>
      </ddeItem>
      <ddeItem name="IGTI11T.Expir" advise="1">
        <values>
          <value t="nil">
            <val>1</val>
          </value>
        </values>
      </ddeItem>
      <ddeItem name="IGTI11T.Fech" advise="1">
        <values cols="2">
          <value>
            <val>20</val>
          </value>
          <value>
            <val>74</val>
          </value>
        </values>
      </ddeItem>
      <ddeItem name="IGTI11T.Hora" advise="1">
        <values>
          <value t="nil">
            <val>1</val>
          </value>
        </values>
      </ddeItem>
      <ddeItem name="IGTI11T.IbovParticip" advise="1">
        <values>
          <value>
            <val>0</val>
          </value>
        </values>
      </ddeItem>
      <ddeItem name="IGTI11T.PreTeo" advise="1">
        <values>
          <value>
            <val>0</val>
          </value>
        </values>
      </ddeItem>
      <ddeItem name="IGTI11T.QtdNeg" advise="1">
        <values>
          <value>
            <val>0</val>
          </value>
        </values>
      </ddeItem>
      <ddeItem name="IGTI11T.Ult" advise="1">
        <values cols="2">
          <value>
            <val>20</val>
          </value>
          <value>
            <val>74</val>
          </value>
        </values>
      </ddeItem>
      <ddeItem name="IGTI11T.Var12M" advise="1">
        <values cols="2">
          <value>
            <val>0</val>
          </value>
          <value>
            <val>1</val>
          </value>
        </values>
      </ddeItem>
      <ddeItem name="IGTI11T.VarAnual" advise="1">
        <values cols="2">
          <value>
            <val>0</val>
          </value>
          <value>
            <val>1</val>
          </value>
        </values>
      </ddeItem>
      <ddeItem name="IGTI11T.VarMes" advise="1">
        <values cols="2">
          <value>
            <val>0</val>
          </value>
          <value>
            <val>1</val>
          </value>
        </values>
      </ddeItem>
      <ddeItem name="IGTI11T.VarPer" advise="1">
        <values>
          <value>
            <val>0</val>
          </value>
        </values>
      </ddeItem>
      <ddeItem name="IGTI11T.VarSem" advise="1">
        <values cols="2">
          <value>
            <val>0</val>
          </value>
          <value>
            <val>1</val>
          </value>
        </values>
      </ddeItem>
      <ddeItem name="IGTI11T.Vol" advise="1">
        <values>
          <value>
            <val>0</val>
          </value>
        </values>
      </ddeItem>
      <ddeItem name="IRBR3.Desc" advise="1">
        <values>
          <value t="str">
            <val>IRBBRASIL REON NM</val>
          </value>
        </values>
      </ddeItem>
      <ddeItem name="IRBR3.Estado" advise="1">
        <values>
          <value t="str">
            <val>Normal</val>
          </value>
        </values>
      </ddeItem>
      <ddeItem name="IRBR3.Exerc" advise="1">
        <values>
          <value>
            <val>0</val>
          </value>
        </values>
      </ddeItem>
      <ddeItem name="IRBR3.Expir" advise="1">
        <values>
          <value t="nil">
            <val>1</val>
          </value>
        </values>
      </ddeItem>
      <ddeItem name="IRBR3.Fech" advise="1">
        <values cols="2">
          <value>
            <val>2</val>
          </value>
          <value>
            <val>2</val>
          </value>
        </values>
      </ddeItem>
      <ddeItem name="IRBR3.Hora" advise="1">
        <values>
          <value>
            <val>0.74983796296296301</val>
          </value>
        </values>
      </ddeItem>
      <ddeItem name="IRBR3.IbovParticip" advise="1">
        <values cols="2">
          <value>
            <val>0</val>
          </value>
          <value>
            <val>1375</val>
          </value>
        </values>
      </ddeItem>
      <ddeItem name="IRBR3.PreTeo" advise="1">
        <values>
          <value>
            <val>0</val>
          </value>
        </values>
      </ddeItem>
      <ddeItem name="IRBR3.QtdNeg" advise="1">
        <values>
          <value>
            <val>12790</val>
          </value>
        </values>
      </ddeItem>
      <ddeItem name="IRBR3.Ult" advise="1">
        <values cols="2">
          <value>
            <val>2</val>
          </value>
          <value>
            <val>13</val>
          </value>
        </values>
      </ddeItem>
      <ddeItem name="IRBR3.Var12M" advise="1">
        <values cols="2">
          <value>
            <val>-58</val>
          </value>
          <value>
            <val>72</val>
          </value>
        </values>
      </ddeItem>
      <ddeItem name="IRBR3.VarAnual" advise="1">
        <values cols="2">
          <value>
            <val>-46</val>
          </value>
          <value>
            <val>88</val>
          </value>
        </values>
      </ddeItem>
      <ddeItem name="IRBR3.VarMes" advise="1">
        <values cols="2">
          <value>
            <val>12</val>
          </value>
          <value>
            <val>1</val>
          </value>
        </values>
      </ddeItem>
      <ddeItem name="IRBR3.VarPer" advise="1">
        <values cols="2">
          <value>
            <val>-3</val>
          </value>
          <value>
            <val>18</val>
          </value>
        </values>
      </ddeItem>
      <ddeItem name="IRBR3.VarSem" advise="1">
        <values cols="2">
          <value>
            <val>-3</val>
          </value>
          <value>
            <val>18</val>
          </value>
        </values>
      </ddeItem>
      <ddeItem name="IRBR3.Vol" advise="1">
        <values>
          <value>
            <val>52878345</val>
          </value>
        </values>
      </ddeItem>
      <ddeItem name="ITSA4.Desc" advise="1">
        <values>
          <value t="str">
            <val>ITAUSA PN EJ N1</val>
          </value>
        </values>
      </ddeItem>
      <ddeItem name="ITSA4.Estado" advise="1">
        <values>
          <value t="str">
            <val>Normal</val>
          </value>
        </values>
      </ddeItem>
      <ddeItem name="ITSA4.Exerc" advise="1">
        <values>
          <value>
            <val>0</val>
          </value>
        </values>
      </ddeItem>
      <ddeItem name="ITSA4.Expir" advise="1">
        <values>
          <value t="nil">
            <val>1</val>
          </value>
        </values>
      </ddeItem>
      <ddeItem name="ITSA4.Fech" advise="1">
        <values cols="2">
          <value>
            <val>9</val>
          </value>
          <value>
            <val>4</val>
          </value>
        </values>
      </ddeItem>
      <ddeItem name="ITSA4.Hora" advise="1">
        <values>
          <value>
            <val>0.74998842592592585</val>
          </value>
        </values>
      </ddeItem>
      <ddeItem name="ITSA4.IbovParticip" advise="1">
        <values cols="2">
          <value>
            <val>2</val>
          </value>
          <value>
            <val>2172</val>
          </value>
        </values>
      </ddeItem>
      <ddeItem name="ITSA4.PreTeo" advise="1">
        <values>
          <value>
            <val>0</val>
          </value>
        </values>
      </ddeItem>
      <ddeItem name="ITSA4.QtdNeg" advise="1">
        <values>
          <value>
            <val>26830</val>
          </value>
        </values>
      </ddeItem>
      <ddeItem name="ITSA4.Ult" advise="1">
        <values cols="2">
          <value>
            <val>9</val>
          </value>
          <value>
            <val>32</val>
          </value>
        </values>
      </ddeItem>
      <ddeItem name="ITSA4.Var12M" advise="1">
        <values cols="2">
          <value>
            <val>-8</val>
          </value>
          <value>
            <val>17</val>
          </value>
        </values>
      </ddeItem>
      <ddeItem name="ITSA4.VarAnual" advise="1">
        <values cols="2">
          <value>
            <val>7</val>
          </value>
          <value>
            <val>37</val>
          </value>
        </values>
      </ddeItem>
      <ddeItem name="ITSA4.VarMes" advise="1">
        <values cols="2">
          <value>
            <val>8</val>
          </value>
          <value>
            <val>62</val>
          </value>
        </values>
      </ddeItem>
      <ddeItem name="ITSA4.VarPer" advise="1">
        <values cols="2">
          <value>
            <val>0</val>
          </value>
          <value>
            <val>85</val>
          </value>
        </values>
      </ddeItem>
      <ddeItem name="ITSA4.VarSem" advise="1">
        <values cols="2">
          <value>
            <val>0</val>
          </value>
          <value>
            <val>85</val>
          </value>
        </values>
      </ddeItem>
      <ddeItem name="ITSA4.Vol" advise="1">
        <values>
          <value>
            <val>267528670</val>
          </value>
        </values>
      </ddeItem>
      <ddeItem name="ITUB4.Desc" advise="1">
        <values>
          <value t="str">
            <val>ITAUUNIBANCOPN EJ N1</val>
          </value>
        </values>
      </ddeItem>
      <ddeItem name="ITUB4.Estado" advise="1">
        <values>
          <value t="str">
            <val>Normal</val>
          </value>
        </values>
      </ddeItem>
      <ddeItem name="ITUB4.Exerc" advise="1">
        <values>
          <value>
            <val>0</val>
          </value>
        </values>
      </ddeItem>
      <ddeItem name="ITUB4.Expir" advise="1">
        <values>
          <value t="nil">
            <val>1</val>
          </value>
        </values>
      </ddeItem>
      <ddeItem name="ITUB4.Fech" advise="1">
        <values cols="2">
          <value>
            <val>26</val>
          </value>
          <value>
            <val>64</val>
          </value>
        </values>
      </ddeItem>
      <ddeItem name="ITUB4.Hora" advise="1">
        <values>
          <value>
            <val>0.74895833333333339</val>
          </value>
        </values>
      </ddeItem>
      <ddeItem name="ITUB4.IbovParticip" advise="1">
        <values cols="2">
          <value>
            <val>6</val>
          </value>
          <value>
            <val>3433</val>
          </value>
        </values>
      </ddeItem>
      <ddeItem name="ITUB4.PreTeo" advise="1">
        <values>
          <value>
            <val>0</val>
          </value>
        </values>
      </ddeItem>
      <ddeItem name="ITUB4.QtdNeg" advise="1">
        <values>
          <value>
            <val>33538</val>
          </value>
        </values>
      </ddeItem>
      <ddeItem name="ITUB4.Ult" advise="1">
        <values cols="2">
          <value>
            <val>26</val>
          </value>
          <value>
            <val>33</val>
          </value>
        </values>
      </ddeItem>
      <ddeItem name="ITUB4.Var12M" advise="1">
        <values cols="2">
          <value>
            <val>10</val>
          </value>
          <value>
            <val>16</val>
          </value>
        </values>
      </ddeItem>
      <ddeItem name="ITUB4.VarAnual" advise="1">
        <values cols="2">
          <value>
            <val>27</val>
          </value>
          <value>
            <val>62</val>
          </value>
        </values>
      </ddeItem>
      <ddeItem name="ITUB4.VarMes" advise="1">
        <values cols="2">
          <value>
            <val>12</val>
          </value>
          <value>
            <val>66</val>
          </value>
        </values>
      </ddeItem>
      <ddeItem name="ITUB4.VarPer" advise="1">
        <values cols="2">
          <value>
            <val>-1</val>
          </value>
          <value>
            <val>16</val>
          </value>
        </values>
      </ddeItem>
      <ddeItem name="ITUB4.VarSem" advise="1">
        <values cols="2">
          <value>
            <val>-1</val>
          </value>
          <value>
            <val>12</val>
          </value>
        </values>
      </ddeItem>
      <ddeItem name="ITUB4.Vol" advise="1">
        <values>
          <value>
            <val>579135609</val>
          </value>
        </values>
      </ddeItem>
      <ddeItem name="JBSS3.Desc" advise="1">
        <values>
          <value t="str">
            <val>JBS ON NM</val>
          </value>
        </values>
      </ddeItem>
      <ddeItem name="JBSS3.Estado" advise="1">
        <values>
          <value t="str">
            <val>Normal</val>
          </value>
        </values>
      </ddeItem>
      <ddeItem name="JBSS3.Exerc" advise="1">
        <values>
          <value>
            <val>0</val>
          </value>
        </values>
      </ddeItem>
      <ddeItem name="JBSS3.Expir" advise="1">
        <values>
          <value t="nil">
            <val>1</val>
          </value>
        </values>
      </ddeItem>
      <ddeItem name="JBSS3.Fech" advise="1">
        <values cols="2">
          <value>
            <val>32</val>
          </value>
          <value>
            <val>37</val>
          </value>
        </values>
      </ddeItem>
      <ddeItem name="JBSS3.Hora" advise="1">
        <values>
          <value>
            <val>0.74980324074074067</val>
          </value>
        </values>
      </ddeItem>
      <ddeItem name="JBSS3.IbovParticip" advise="1">
        <values cols="2">
          <value>
            <val>2</val>
          </value>
          <value>
            <val>808</val>
          </value>
        </values>
      </ddeItem>
      <ddeItem name="JBSS3.PreTeo" advise="1">
        <values>
          <value>
            <val>0</val>
          </value>
        </values>
      </ddeItem>
      <ddeItem name="JBSS3.QtdNeg" advise="1">
        <values>
          <value>
            <val>18652</val>
          </value>
        </values>
      </ddeItem>
      <ddeItem name="JBSS3.Ult" advise="1">
        <values cols="2">
          <value>
            <val>31</val>
          </value>
          <value>
            <val>77</val>
          </value>
        </values>
      </ddeItem>
      <ddeItem name="JBSS3.Var12M" advise="1">
        <values cols="2">
          <value>
            <val>5</val>
          </value>
          <value>
            <val>82</val>
          </value>
        </values>
      </ddeItem>
      <ddeItem name="JBSS3.VarAnual" advise="1">
        <values cols="2">
          <value>
            <val>-13</val>
          </value>
          <value>
            <val>9</val>
          </value>
        </values>
      </ddeItem>
      <ddeItem name="JBSS3.VarMes" advise="1">
        <values cols="2">
          <value>
            <val>0</val>
          </value>
          <value>
            <val>53</val>
          </value>
        </values>
      </ddeItem>
      <ddeItem name="JBSS3.VarPer" advise="1">
        <values cols="2">
          <value>
            <val>-1</val>
          </value>
          <value>
            <val>85</val>
          </value>
        </values>
      </ddeItem>
      <ddeItem name="JBSS3.VarSem" advise="1">
        <values cols="2">
          <value>
            <val>-1</val>
          </value>
          <value>
            <val>82</val>
          </value>
        </values>
      </ddeItem>
      <ddeItem name="JBSS3.Vol" advise="1">
        <values>
          <value>
            <val>150402094</val>
          </value>
        </values>
      </ddeItem>
      <ddeItem name="KLBN11.Desc" advise="1">
        <values>
          <value t="str">
            <val>KLABIN S/A UNT N2</val>
          </value>
        </values>
      </ddeItem>
      <ddeItem name="KLBN11.Estado" advise="1">
        <values>
          <value t="str">
            <val>Normal</val>
          </value>
        </values>
      </ddeItem>
      <ddeItem name="KLBN11.Exerc" advise="1">
        <values>
          <value>
            <val>0</val>
          </value>
        </values>
      </ddeItem>
      <ddeItem name="KLBN11.Expir" advise="1">
        <values>
          <value t="nil">
            <val>1</val>
          </value>
        </values>
      </ddeItem>
      <ddeItem name="KLBN11.Fech" advise="1">
        <values cols="2">
          <value>
            <val>20</val>
          </value>
          <value>
            <val>69</val>
          </value>
        </values>
      </ddeItem>
      <ddeItem name="KLBN11.Hora" advise="1">
        <values>
          <value>
            <val>0.74987268518518524</val>
          </value>
        </values>
      </ddeItem>
      <ddeItem name="KLBN11.IbovParticip" advise="1">
        <values cols="2">
          <value>
            <val>0</val>
          </value>
          <value>
            <val>8377</val>
          </value>
        </values>
      </ddeItem>
      <ddeItem name="KLBN11.PreTeo" advise="1">
        <values>
          <value>
            <val>0</val>
          </value>
        </values>
      </ddeItem>
      <ddeItem name="KLBN11.QtdNeg" advise="1">
        <values>
          <value>
            <val>21266</val>
          </value>
        </values>
      </ddeItem>
      <ddeItem name="KLBN11.Ult" advise="1">
        <values cols="2">
          <value>
            <val>20</val>
          </value>
          <value>
            <val>3</val>
          </value>
        </values>
      </ddeItem>
      <ddeItem name="KLBN11.Var12M" advise="1">
        <values cols="2">
          <value>
            <val>-12</val>
          </value>
          <value>
            <val>15</val>
          </value>
        </values>
      </ddeItem>
      <ddeItem name="KLBN11.VarAnual" advise="1">
        <values cols="2">
          <value>
            <val>-17</val>
          </value>
          <value>
            <val>4</val>
          </value>
        </values>
      </ddeItem>
      <ddeItem name="KLBN11.VarMes" advise="1">
        <values cols="2">
          <value>
            <val>3</val>
          </value>
          <value>
            <val>78</val>
          </value>
        </values>
      </ddeItem>
      <ddeItem name="KLBN11.VarPer" advise="1">
        <values cols="2">
          <value>
            <val>-1</val>
          </value>
          <value>
            <val>88</val>
          </value>
        </values>
      </ddeItem>
      <ddeItem name="KLBN11.VarSem" advise="1">
        <values cols="2">
          <value>
            <val>-1</val>
          </value>
          <value>
            <val>88</val>
          </value>
        </values>
      </ddeItem>
      <ddeItem name="KLBN11.Vol" advise="1">
        <values>
          <value>
            <val>122349608</val>
          </value>
        </values>
      </ddeItem>
      <ddeItem name="LAVV3.Desc" advise="1">
        <values>
          <value t="str">
            <val>LAVVI ON NM</val>
          </value>
        </values>
      </ddeItem>
      <ddeItem name="LAVV3.Estado" advise="1">
        <values>
          <value t="str">
            <val>Normal</val>
          </value>
        </values>
      </ddeItem>
      <ddeItem name="LAVV3.Exerc" advise="1">
        <values>
          <value>
            <val>0</val>
          </value>
        </values>
      </ddeItem>
      <ddeItem name="LAVV3.Expir" advise="1">
        <values>
          <value t="nil">
            <val>1</val>
          </value>
        </values>
      </ddeItem>
      <ddeItem name="LAVV3.Fech" advise="1">
        <values cols="2">
          <value>
            <val>5</val>
          </value>
          <value>
            <val>15</val>
          </value>
        </values>
      </ddeItem>
      <ddeItem name="LAVV3.Hora" advise="1">
        <values>
          <value>
            <val>0.72917824074074078</val>
          </value>
        </values>
      </ddeItem>
      <ddeItem name="LAVV3.IbovParticip" advise="1">
        <values>
          <value>
            <val>0</val>
          </value>
        </values>
      </ddeItem>
      <ddeItem name="LAVV3.PreTeo" advise="1">
        <values>
          <value>
            <val>0</val>
          </value>
        </values>
      </ddeItem>
      <ddeItem name="LAVV3.QtdNeg" advise="1">
        <values>
          <value>
            <val>1788</val>
          </value>
        </values>
      </ddeItem>
      <ddeItem name="LAVV3.Ult" advise="1">
        <values cols="2">
          <value>
            <val>4</val>
          </value>
          <value>
            <val>99</val>
          </value>
        </values>
      </ddeItem>
      <ddeItem name="LAVV3.Var12M" advise="1">
        <values cols="2">
          <value>
            <val>-15</val>
          </value>
          <value>
            <val>13</val>
          </value>
        </values>
      </ddeItem>
      <ddeItem name="LAVV3.VarAnual" advise="1">
        <values cols="2">
          <value>
            <val>2</val>
          </value>
          <value>
            <val>25</val>
          </value>
        </values>
      </ddeItem>
      <ddeItem name="LAVV3.VarMes" advise="1">
        <values cols="2">
          <value>
            <val>2</val>
          </value>
          <value>
            <val>67</val>
          </value>
        </values>
      </ddeItem>
      <ddeItem name="LAVV3.VarPer" advise="1">
        <values cols="2">
          <value>
            <val>-3</val>
          </value>
          <value>
            <val>1</val>
          </value>
        </values>
      </ddeItem>
      <ddeItem name="LAVV3.VarSem" advise="1">
        <values cols="2">
          <value>
            <val>-3</val>
          </value>
          <value>
            <val>1</val>
          </value>
        </values>
      </ddeItem>
      <ddeItem name="LAVV3.Vol" advise="1">
        <values>
          <value>
            <val>3063285</val>
          </value>
        </values>
      </ddeItem>
      <ddeItem name="LIGT3.Desc" advise="1">
        <values>
          <value t="str">
            <val>LIGHT S/A ON NM</val>
          </value>
        </values>
      </ddeItem>
      <ddeItem name="LIGT3.Estado" advise="1">
        <values>
          <value t="str">
            <val>Normal</val>
          </value>
        </values>
      </ddeItem>
      <ddeItem name="LIGT3.Exerc" advise="1">
        <values>
          <value>
            <val>0</val>
          </value>
        </values>
      </ddeItem>
      <ddeItem name="LIGT3.Expir" advise="1">
        <values>
          <value t="nil">
            <val>1</val>
          </value>
        </values>
      </ddeItem>
      <ddeItem name="LIGT3.Fech" advise="1">
        <values cols="2">
          <value>
            <val>6</val>
          </value>
          <value>
            <val>12</val>
          </value>
        </values>
      </ddeItem>
      <ddeItem name="LIGT3.Hora" advise="1">
        <values>
          <value>
            <val>0.74710648148148151</val>
          </value>
        </values>
      </ddeItem>
      <ddeItem name="LIGT3.IbovParticip" advise="1">
        <values>
          <value>
            <val>0</val>
          </value>
        </values>
      </ddeItem>
      <ddeItem name="LIGT3.PreTeo" advise="1">
        <values>
          <value>
            <val>0</val>
          </value>
        </values>
      </ddeItem>
      <ddeItem name="LIGT3.QtdNeg" advise="1">
        <values>
          <value>
            <val>6595</val>
          </value>
        </values>
      </ddeItem>
      <ddeItem name="LIGT3.Ult" advise="1">
        <values cols="2">
          <value>
            <val>5</val>
          </value>
          <value>
            <val>99</val>
          </value>
        </values>
      </ddeItem>
      <ddeItem name="LIGT3.Var12M" advise="1">
        <values cols="2">
          <value>
            <val>-58</val>
          </value>
          <value>
            <val>43</val>
          </value>
        </values>
      </ddeItem>
      <ddeItem name="LIGT3.VarAnual" advise="1">
        <values cols="2">
          <value>
            <val>-47</val>
          </value>
          <value>
            <val>59</val>
          </value>
        </values>
      </ddeItem>
      <ddeItem name="LIGT3.VarMes" advise="1">
        <values cols="2">
          <value>
            <val>11</val>
          </value>
          <value>
            <val>96</val>
          </value>
        </values>
      </ddeItem>
      <ddeItem name="LIGT3.VarPer" advise="1">
        <values cols="2">
          <value>
            <val>-2</val>
          </value>
          <value>
            <val>12</val>
          </value>
        </values>
      </ddeItem>
      <ddeItem name="LIGT3.VarSem" advise="1">
        <values cols="2">
          <value>
            <val>-2</val>
          </value>
          <value>
            <val>12</val>
          </value>
        </values>
      </ddeItem>
      <ddeItem name="LIGT3.Vol" advise="1">
        <values>
          <value>
            <val>16338255</val>
          </value>
        </values>
      </ddeItem>
      <ddeItem name="LREN3.Desc" advise="1">
        <values>
          <value t="str">
            <val>LOJAS RENNERON NM</val>
          </value>
        </values>
      </ddeItem>
      <ddeItem name="LREN3.Estado" advise="1">
        <values>
          <value t="str">
            <val>Normal</val>
          </value>
        </values>
      </ddeItem>
      <ddeItem name="LREN3.Exerc" advise="1">
        <values>
          <value>
            <val>0</val>
          </value>
        </values>
      </ddeItem>
      <ddeItem name="LREN3.Expir" advise="1">
        <values>
          <value t="nil">
            <val>1</val>
          </value>
        </values>
      </ddeItem>
      <ddeItem name="LREN3.Fech" advise="1">
        <values cols="2">
          <value>
            <val>27</val>
          </value>
          <value>
            <val>13</val>
          </value>
        </values>
      </ddeItem>
      <ddeItem name="LREN3.Hora" advise="1">
        <values>
          <value>
            <val>0.74798611111111113</val>
          </value>
        </values>
      </ddeItem>
      <ddeItem name="LREN3.IbovParticip" advise="1">
        <values cols="2">
          <value>
            <val>1</val>
          </value>
          <value>
            <val>3212</val>
          </value>
        </values>
      </ddeItem>
      <ddeItem name="LREN3.PreTeo" advise="1">
        <values>
          <value>
            <val>0</val>
          </value>
        </values>
      </ddeItem>
      <ddeItem name="LREN3.QtdNeg" advise="1">
        <values>
          <value>
            <val>26469</val>
          </value>
        </values>
      </ddeItem>
      <ddeItem name="LREN3.Ult" advise="1">
        <values cols="2">
          <value>
            <val>26</val>
          </value>
          <value>
            <val>44</val>
          </value>
        </values>
      </ddeItem>
      <ddeItem name="LREN3.Var12M" advise="1">
        <values cols="2">
          <value>
            <val>-24</val>
          </value>
          <value>
            <val>41</val>
          </value>
        </values>
      </ddeItem>
      <ddeItem name="LREN3.VarAnual" advise="1">
        <values cols="2">
          <value>
            <val>9</val>
          </value>
          <value>
            <val>39</val>
          </value>
        </values>
      </ddeItem>
      <ddeItem name="LREN3.VarMes" advise="1">
        <values cols="2">
          <value>
            <val>4</val>
          </value>
          <value>
            <val>54</val>
          </value>
        </values>
      </ddeItem>
      <ddeItem name="LREN3.VarPer" advise="1">
        <values cols="2">
          <value>
            <val>-2</val>
          </value>
          <value>
            <val>54</val>
          </value>
        </values>
      </ddeItem>
      <ddeItem name="LREN3.VarSem" advise="1">
        <values cols="2">
          <value>
            <val>-2</val>
          </value>
          <value>
            <val>5</val>
          </value>
        </values>
      </ddeItem>
      <ddeItem name="LREN3.Vol" advise="1">
        <values>
          <value>
            <val>359744511</val>
          </value>
        </values>
      </ddeItem>
      <ddeItem name="LWSA3.Desc" advise="1">
        <values>
          <value t="str">
            <val>LOCAWEB ON NM</val>
          </value>
        </values>
      </ddeItem>
      <ddeItem name="LWSA3.Estado" advise="1">
        <values>
          <value t="str">
            <val>Normal</val>
          </value>
        </values>
      </ddeItem>
      <ddeItem name="LWSA3.Exerc" advise="1">
        <values>
          <value>
            <val>0</val>
          </value>
        </values>
      </ddeItem>
      <ddeItem name="LWSA3.Expir" advise="1">
        <values>
          <value t="nil">
            <val>1</val>
          </value>
        </values>
      </ddeItem>
      <ddeItem name="LWSA3.Fech" advise="1">
        <values cols="2">
          <value>
            <val>10</val>
          </value>
          <value>
            <val>4</val>
          </value>
        </values>
      </ddeItem>
      <ddeItem name="LWSA3.Hora" advise="1">
        <values>
          <value>
            <val>0.74972222222222218</val>
          </value>
        </values>
      </ddeItem>
      <ddeItem name="LWSA3.IbovParticip" advise="1">
        <values cols="2">
          <value>
            <val>0</val>
          </value>
          <value>
            <val>2095</val>
          </value>
        </values>
      </ddeItem>
      <ddeItem name="LWSA3.PreTeo" advise="1">
        <values>
          <value>
            <val>0</val>
          </value>
        </values>
      </ddeItem>
      <ddeItem name="LWSA3.QtdNeg" advise="1">
        <values>
          <value>
            <val>21525</val>
          </value>
        </values>
      </ddeItem>
      <ddeItem name="LWSA3.Ult" advise="1">
        <values cols="2">
          <value>
            <val>10</val>
          </value>
          <value>
            <val>1</val>
          </value>
        </values>
      </ddeItem>
      <ddeItem name="LWSA3.Var12M" advise="1">
        <values cols="2">
          <value>
            <val>-59</val>
          </value>
          <value>
            <val>43</val>
          </value>
        </values>
      </ddeItem>
      <ddeItem name="LWSA3.VarAnual" advise="1">
        <values cols="2">
          <value>
            <val>-23</val>
          </value>
          <value>
            <val>25</val>
          </value>
        </values>
      </ddeItem>
      <ddeItem name="LWSA3.VarMes" advise="1">
        <values cols="2">
          <value>
            <val>49</val>
          </value>
          <value>
            <val>4</val>
          </value>
        </values>
      </ddeItem>
      <ddeItem name="LWSA3.VarPer" advise="1">
        <values cols="2">
          <value>
            <val>0</val>
          </value>
          <value>
            <val>59</val>
          </value>
        </values>
      </ddeItem>
      <ddeItem name="LWSA3.VarSem" advise="1">
        <values cols="2">
          <value>
            <val>0</val>
          </value>
          <value>
            <val>69</val>
          </value>
        </values>
      </ddeItem>
      <ddeItem name="LWSA3.Vol" advise="1">
        <values>
          <value>
            <val>195107813</val>
          </value>
        </values>
      </ddeItem>
      <ddeItem name="MDIA3.Desc" advise="1">
        <values>
          <value t="str">
            <val>M.DIASBRANCOON NM</val>
          </value>
        </values>
      </ddeItem>
      <ddeItem name="MDIA3.Estado" advise="1">
        <values>
          <value t="str">
            <val>Normal</val>
          </value>
        </values>
      </ddeItem>
      <ddeItem name="MDIA3.Exerc" advise="1">
        <values>
          <value>
            <val>0</val>
          </value>
        </values>
      </ddeItem>
      <ddeItem name="MDIA3.Expir" advise="1">
        <values>
          <value t="nil">
            <val>1</val>
          </value>
        </values>
      </ddeItem>
      <ddeItem name="MDIA3.Fech" advise="1">
        <values cols="2">
          <value>
            <val>42</val>
          </value>
          <value>
            <val>78</val>
          </value>
        </values>
      </ddeItem>
      <ddeItem name="MDIA3.Hora" advise="1">
        <values>
          <value>
            <val>0.74149305555555556</val>
          </value>
        </values>
      </ddeItem>
      <ddeItem name="MDIA3.IbovParticip" advise="1">
        <values>
          <value>
            <val>0</val>
          </value>
        </values>
      </ddeItem>
      <ddeItem name="MDIA3.PreTeo" advise="1">
        <values>
          <value>
            <val>0</val>
          </value>
        </values>
      </ddeItem>
      <ddeItem name="MDIA3.QtdNeg" advise="1">
        <values>
          <value>
            <val>6417</val>
          </value>
        </values>
      </ddeItem>
      <ddeItem name="MDIA3.Ult" advise="1">
        <values cols="2">
          <value>
            <val>41</val>
          </value>
          <value>
            <val>75</val>
          </value>
        </values>
      </ddeItem>
      <ddeItem name="MDIA3.Var12M" advise="1">
        <values cols="2">
          <value>
            <val>36</val>
          </value>
          <value>
            <val>84</val>
          </value>
        </values>
      </ddeItem>
      <ddeItem name="MDIA3.VarAnual" advise="1">
        <values cols="2">
          <value>
            <val>75</val>
          </value>
          <value>
            <val>12</val>
          </value>
        </values>
      </ddeItem>
      <ddeItem name="MDIA3.VarMes" advise="1">
        <values cols="2">
          <value>
            <val>34</val>
          </value>
          <value>
            <val>2</val>
          </value>
        </values>
      </ddeItem>
      <ddeItem name="MDIA3.VarPer" advise="1">
        <values cols="2">
          <value>
            <val>-2</val>
          </value>
          <value>
            <val>4</val>
          </value>
        </values>
      </ddeItem>
      <ddeItem name="MDIA3.VarSem" advise="1">
        <values cols="2">
          <value>
            <val>-2</val>
          </value>
          <value>
            <val>38</val>
          </value>
        </values>
      </ddeItem>
      <ddeItem name="MDIA3.Vol" advise="1">
        <values>
          <value>
            <val>50208314</val>
          </value>
        </values>
      </ddeItem>
      <ddeItem name="MGLU3.Desc" advise="1">
        <values>
          <value t="str">
            <val>MAGAZ LUIZA ON NM</val>
          </value>
        </values>
      </ddeItem>
      <ddeItem name="MGLU3.Estado" advise="1">
        <values>
          <value t="str">
            <val>Normal</val>
          </value>
        </values>
      </ddeItem>
      <ddeItem name="MGLU3.Exerc" advise="1">
        <values>
          <value>
            <val>0</val>
          </value>
        </values>
      </ddeItem>
      <ddeItem name="MGLU3.Expir" advise="1">
        <values>
          <value t="nil">
            <val>1</val>
          </value>
        </values>
      </ddeItem>
      <ddeItem name="MGLU3.Fech" advise="1">
        <values cols="2">
          <value>
            <val>3</val>
          </value>
          <value>
            <val>78</val>
          </value>
        </values>
      </ddeItem>
      <ddeItem name="MGLU3.Hora" advise="1">
        <values>
          <value>
            <val>0.74991898148148151</val>
          </value>
        </values>
      </ddeItem>
      <ddeItem name="MGLU3.IbovParticip" advise="1">
        <values cols="2">
          <value>
            <val>0</val>
          </value>
          <value>
            <val>5452</val>
          </value>
        </values>
      </ddeItem>
      <ddeItem name="MGLU3.PreTeo" advise="1">
        <values>
          <value>
            <val>0</val>
          </value>
        </values>
      </ddeItem>
      <ddeItem name="MGLU3.QtdNeg" advise="1">
        <values>
          <value>
            <val>48477</val>
          </value>
        </values>
      </ddeItem>
      <ddeItem name="MGLU3.Ult" advise="1">
        <values cols="2">
          <value>
            <val>3</val>
          </value>
          <value>
            <val>84</val>
          </value>
        </values>
      </ddeItem>
      <ddeItem name="MGLU3.Var12M" advise="1">
        <values cols="2">
          <value>
            <val>-79</val>
          </value>
          <value>
            <val>63</val>
          </value>
        </values>
      </ddeItem>
      <ddeItem name="MGLU3.VarAnual" advise="1">
        <values cols="2">
          <value>
            <val>-46</val>
          </value>
          <value>
            <val>81</val>
          </value>
        </values>
      </ddeItem>
      <ddeItem name="MGLU3.VarMes" advise="1">
        <values cols="2">
          <value>
            <val>48</val>
          </value>
          <value>
            <val>83</val>
          </value>
        </values>
      </ddeItem>
      <ddeItem name="MGLU3.VarPer" advise="1">
        <values cols="2">
          <value>
            <val>1</val>
          </value>
          <value>
            <val>58</val>
          </value>
        </values>
      </ddeItem>
      <ddeItem name="MGLU3.VarSem" advise="1">
        <values cols="2">
          <value>
            <val>1</val>
          </value>
          <value>
            <val>58</val>
          </value>
        </values>
      </ddeItem>
      <ddeItem name="MGLU3.Vol" advise="1">
        <values>
          <value>
            <val>611597360</val>
          </value>
        </values>
      </ddeItem>
      <ddeItem name="MOVI3.Desc" advise="1">
        <values>
          <value t="str">
            <val>MOVIDA ON NM</val>
          </value>
        </values>
      </ddeItem>
      <ddeItem name="MOVI3.Estado" advise="1">
        <values>
          <value t="str">
            <val>Normal</val>
          </value>
        </values>
      </ddeItem>
      <ddeItem name="MOVI3.Exerc" advise="1">
        <values>
          <value>
            <val>0</val>
          </value>
        </values>
      </ddeItem>
      <ddeItem name="MOVI3.Expir" advise="1">
        <values>
          <value t="nil">
            <val>1</val>
          </value>
        </values>
      </ddeItem>
      <ddeItem name="MOVI3.Fech" advise="1">
        <values cols="2">
          <value>
            <val>14</val>
          </value>
          <value>
            <val>46</val>
          </value>
        </values>
      </ddeItem>
      <ddeItem name="MOVI3.Hora" advise="1">
        <values>
          <value>
            <val>0.74282407407407414</val>
          </value>
        </values>
      </ddeItem>
      <ddeItem name="MOVI3.IbovParticip" advise="1">
        <values>
          <value>
            <val>0</val>
          </value>
        </values>
      </ddeItem>
      <ddeItem name="MOVI3.PreTeo" advise="1">
        <values>
          <value>
            <val>0</val>
          </value>
        </values>
      </ddeItem>
      <ddeItem name="MOVI3.QtdNeg" advise="1">
        <values>
          <value>
            <val>5179</val>
          </value>
        </values>
      </ddeItem>
      <ddeItem name="MOVI3.Ult" advise="1">
        <values cols="2">
          <value>
            <val>14</val>
          </value>
          <value>
            <val>43</val>
          </value>
        </values>
      </ddeItem>
      <ddeItem name="MOVI3.Var12M" advise="1">
        <values cols="2">
          <value>
            <val>-17</val>
          </value>
          <value>
            <val>35</val>
          </value>
        </values>
      </ddeItem>
      <ddeItem name="MOVI3.VarAnual" advise="1">
        <values cols="2">
          <value>
            <val>-2</val>
          </value>
          <value>
            <val>3</val>
          </value>
        </values>
      </ddeItem>
      <ddeItem name="MOVI3.VarMes" advise="1">
        <values cols="2">
          <value>
            <val>13</val>
          </value>
          <value>
            <val>62</val>
          </value>
        </values>
      </ddeItem>
      <ddeItem name="MOVI3.VarPer" advise="1">
        <values cols="2">
          <value>
            <val>0</val>
          </value>
          <value>
            <val>2</val>
          </value>
        </values>
      </ddeItem>
      <ddeItem name="MOVI3.VarSem" advise="1">
        <values cols="2">
          <value>
            <val>0</val>
          </value>
          <value>
            <val>2</val>
          </value>
        </values>
      </ddeItem>
      <ddeItem name="MOVI3.Vol" advise="1">
        <values>
          <value>
            <val>18170779</val>
          </value>
        </values>
      </ddeItem>
      <ddeItem name="MRFG3.Desc" advise="1">
        <values>
          <value t="str">
            <val>MARFRIG ON ED NM</val>
          </value>
        </values>
      </ddeItem>
      <ddeItem name="MRFG3.Estado" advise="1">
        <values>
          <value t="str">
            <val>Normal</val>
          </value>
        </values>
      </ddeItem>
      <ddeItem name="MRFG3.Exerc" advise="1">
        <values>
          <value>
            <val>0</val>
          </value>
        </values>
      </ddeItem>
      <ddeItem name="MRFG3.Expir" advise="1">
        <values>
          <value t="nil">
            <val>1</val>
          </value>
        </values>
      </ddeItem>
      <ddeItem name="MRFG3.Fech" advise="1">
        <values cols="2">
          <value>
            <val>14</val>
          </value>
          <value>
            <val>75</val>
          </value>
        </values>
      </ddeItem>
      <ddeItem name="MRFG3.Hora" advise="1">
        <values>
          <value>
            <val>0.74994212962962958</val>
          </value>
        </values>
      </ddeItem>
      <ddeItem name="MRFG3.IbovParticip" advise="1">
        <values cols="2">
          <value>
            <val>0</val>
          </value>
          <value>
            <val>2558</val>
          </value>
        </values>
      </ddeItem>
      <ddeItem name="MRFG3.PreTeo" advise="1">
        <values>
          <value>
            <val>0</val>
          </value>
        </values>
      </ddeItem>
      <ddeItem name="MRFG3.QtdNeg" advise="1">
        <values>
          <value>
            <val>16402</val>
          </value>
        </values>
      </ddeItem>
      <ddeItem name="MRFG3.Ult" advise="1">
        <values cols="2">
          <value>
            <val>14</val>
          </value>
          <value>
            <val>65</val>
          </value>
        </values>
      </ddeItem>
      <ddeItem name="MRFG3.Var12M" advise="1">
        <values cols="2">
          <value>
            <val>-15</val>
          </value>
          <value>
            <val>8</val>
          </value>
        </values>
      </ddeItem>
      <ddeItem name="MRFG3.VarAnual" advise="1">
        <values cols="2">
          <value>
            <val>-31</val>
          </value>
          <value>
            <val>63</val>
          </value>
        </values>
      </ddeItem>
      <ddeItem name="MRFG3.VarMes" advise="1">
        <values cols="2">
          <value>
            <val>10</val>
          </value>
          <value>
            <val>98</val>
          </value>
        </values>
      </ddeItem>
      <ddeItem name="MRFG3.VarPer" advise="1">
        <values cols="2">
          <value>
            <val>0</val>
          </value>
          <value>
            <val>67</val>
          </value>
        </values>
      </ddeItem>
      <ddeItem name="MRFG3.VarSem" advise="1">
        <values cols="2">
          <value>
            <val>-5</val>
          </value>
          <value>
            <val>54</val>
          </value>
        </values>
      </ddeItem>
      <ddeItem name="MRFG3.Vol" advise="1">
        <values>
          <value>
            <val>123655174</val>
          </value>
        </values>
      </ddeItem>
      <ddeItem name="MRVE3.Desc" advise="1">
        <values>
          <value t="str">
            <val>MRV ON NM</val>
          </value>
        </values>
      </ddeItem>
      <ddeItem name="MRVE3.Estado" advise="1">
        <values>
          <value t="str">
            <val>Normal</val>
          </value>
        </values>
      </ddeItem>
      <ddeItem name="MRVE3.Exerc" advise="1">
        <values>
          <value>
            <val>0</val>
          </value>
        </values>
      </ddeItem>
      <ddeItem name="MRVE3.Expir" advise="1">
        <values>
          <value t="nil">
            <val>1</val>
          </value>
        </values>
      </ddeItem>
      <ddeItem name="MRVE3.Fech" advise="1">
        <values cols="2">
          <value>
            <val>9</val>
          </value>
          <value>
            <val>8</val>
          </value>
        </values>
      </ddeItem>
      <ddeItem name="MRVE3.Hora" advise="1">
        <values>
          <value>
            <val>0.74994212962962958</val>
          </value>
        </values>
      </ddeItem>
      <ddeItem name="MRVE3.IbovParticip" advise="1">
        <values cols="2">
          <value>
            <val>0</val>
          </value>
          <value>
            <val>1438</val>
          </value>
        </values>
      </ddeItem>
      <ddeItem name="MRVE3.PreTeo" advise="1">
        <values>
          <value>
            <val>0</val>
          </value>
        </values>
      </ddeItem>
      <ddeItem name="MRVE3.QtdNeg" advise="1">
        <values>
          <value>
            <val>11018</val>
          </value>
        </values>
      </ddeItem>
      <ddeItem name="MRVE3.Ult" advise="1">
        <values cols="2">
          <value>
            <val>9</val>
          </value>
          <value>
            <val>6</val>
          </value>
        </values>
      </ddeItem>
      <ddeItem name="MRVE3.Var12M" advise="1">
        <values cols="2">
          <value>
            <val>-22</val>
          </value>
          <value>
            <val>39</val>
          </value>
        </values>
      </ddeItem>
      <ddeItem name="MRVE3.VarAnual" advise="1">
        <values cols="2">
          <value>
            <val>-17</val>
          </value>
          <value>
            <val>94</val>
          </value>
        </values>
      </ddeItem>
      <ddeItem name="MRVE3.VarMes" advise="1">
        <values cols="2">
          <value>
            <val>4</val>
          </value>
          <value>
            <val>8</val>
          </value>
        </values>
      </ddeItem>
      <ddeItem name="MRVE3.VarPer" advise="1">
        <values cols="2">
          <value>
            <val>-2</val>
          </value>
          <value>
            <val>4</val>
          </value>
        </values>
      </ddeItem>
      <ddeItem name="MRVE3.VarSem" advise="1">
        <values cols="2">
          <value>
            <val>-2</val>
          </value>
          <value>
            <val>4</val>
          </value>
        </values>
      </ddeItem>
      <ddeItem name="MRVE3.Vol" advise="1">
        <values>
          <value>
            <val>43391898</val>
          </value>
        </values>
      </ddeItem>
      <ddeItem name="MSFT34.Desc" advise="1">
        <values>
          <value t="str">
            <val>MICROSOFT DRN ED</val>
          </value>
        </values>
      </ddeItem>
      <ddeItem name="MSFT34.Estado" advise="1">
        <values>
          <value t="str">
            <val>Normal</val>
          </value>
        </values>
      </ddeItem>
      <ddeItem name="MSFT34.Exerc" advise="1">
        <values>
          <value>
            <val>0</val>
          </value>
        </values>
      </ddeItem>
      <ddeItem name="MSFT34.Expir" advise="1">
        <values>
          <value t="nil">
            <val>1</val>
          </value>
        </values>
      </ddeItem>
      <ddeItem name="MSFT34.Fech" advise="1">
        <values cols="2">
          <value>
            <val>61</val>
          </value>
          <value>
            <val>87</val>
          </value>
        </values>
      </ddeItem>
      <ddeItem name="MSFT34.Hora" advise="1">
        <values>
          <value>
            <val>0.74965277777777783</val>
          </value>
        </values>
      </ddeItem>
      <ddeItem name="MSFT34.IbovParticip" advise="1">
        <values>
          <value>
            <val>0</val>
          </value>
        </values>
      </ddeItem>
      <ddeItem name="MSFT34.PreTeo" advise="1">
        <values>
          <value>
            <val>0</val>
          </value>
        </values>
      </ddeItem>
      <ddeItem name="MSFT34.QtdNeg" advise="1">
        <values>
          <value>
            <val>740</val>
          </value>
        </values>
      </ddeItem>
      <ddeItem name="MSFT34.Ult" advise="1">
        <values cols="2">
          <value>
            <val>59</val>
          </value>
          <value>
            <val>83</val>
          </value>
        </values>
      </ddeItem>
      <ddeItem name="MSFT34.Var12M" advise="1">
        <values cols="2">
          <value>
            <val>-12</val>
          </value>
          <value>
            <val>45</val>
          </value>
        </values>
      </ddeItem>
      <ddeItem name="MSFT34.VarAnual" advise="1">
        <values cols="2">
          <value>
            <val>-23</val>
          </value>
          <value>
            <val>45</val>
          </value>
        </values>
      </ddeItem>
      <ddeItem name="MSFT34.VarMes" advise="1">
        <values cols="2">
          <value>
            <val>-1</val>
          </value>
          <value>
            <val>7</val>
          </value>
        </values>
      </ddeItem>
      <ddeItem name="MSFT34.VarPer" advise="1">
        <values cols="2">
          <value>
            <val>-3</val>
          </value>
          <value>
            <val>29</val>
          </value>
        </values>
      </ddeItem>
      <ddeItem name="MSFT34.VarSem" advise="1">
        <values cols="2">
          <value>
            <val>-3</val>
          </value>
          <value>
            <val>28</val>
          </value>
        </values>
      </ddeItem>
      <ddeItem name="MSFT34.Vol" advise="1">
        <values>
          <value>
            <val>22931789</val>
          </value>
        </values>
      </ddeItem>
      <ddeItem name="MULT3.Desc" advise="1">
        <values>
          <value t="str">
            <val>MULTIPLAN ON N2</val>
          </value>
        </values>
      </ddeItem>
      <ddeItem name="MULT3.Estado" advise="1">
        <values>
          <value t="str">
            <val>Normal</val>
          </value>
        </values>
      </ddeItem>
      <ddeItem name="MULT3.Exerc" advise="1">
        <values>
          <value>
            <val>0</val>
          </value>
        </values>
      </ddeItem>
      <ddeItem name="MULT3.Expir" advise="1">
        <values>
          <value t="nil">
            <val>1</val>
          </value>
        </values>
      </ddeItem>
      <ddeItem name="MULT3.Fech" advise="1">
        <values cols="2">
          <value>
            <val>25</val>
          </value>
          <value>
            <val>87</val>
          </value>
        </values>
      </ddeItem>
      <ddeItem name="MULT3.Hora" advise="1">
        <values>
          <value>
            <val>0.74994212962962958</val>
          </value>
        </values>
      </ddeItem>
      <ddeItem name="MULT3.IbovParticip" advise="1">
        <values cols="2">
          <value>
            <val>0</val>
          </value>
          <value>
            <val>3514</val>
          </value>
        </values>
      </ddeItem>
      <ddeItem name="MULT3.PreTeo" advise="1">
        <values>
          <value>
            <val>0</val>
          </value>
        </values>
      </ddeItem>
      <ddeItem name="MULT3.QtdNeg" advise="1">
        <values>
          <value>
            <val>19585</val>
          </value>
        </values>
      </ddeItem>
      <ddeItem name="MULT3.Ult" advise="1">
        <values cols="2">
          <value>
            <val>25</val>
          </value>
          <value>
            <val>87</val>
          </value>
        </values>
      </ddeItem>
      <ddeItem name="MULT3.Var12M" advise="1">
        <values cols="2">
          <value>
            <val>23</val>
          </value>
          <value>
            <val>7</val>
          </value>
        </values>
      </ddeItem>
      <ddeItem name="MULT3.VarAnual" advise="1">
        <values cols="2">
          <value>
            <val>39</val>
          </value>
          <value>
            <val>53</val>
          </value>
        </values>
      </ddeItem>
      <ddeItem name="MULT3.VarMes" advise="1">
        <values cols="2">
          <value>
            <val>8</val>
          </value>
          <value>
            <val>74</val>
          </value>
        </values>
      </ddeItem>
      <ddeItem name="MULT3.VarPer" advise="1">
        <values>
          <value>
            <val>0</val>
          </value>
        </values>
      </ddeItem>
      <ddeItem name="MULT3.VarSem" advise="1">
        <values>
          <value>
            <val>0</val>
          </value>
        </values>
      </ddeItem>
      <ddeItem name="MULT3.Vol" advise="1">
        <values>
          <value>
            <val>85002753</val>
          </value>
        </values>
      </ddeItem>
      <ddeItem name="MYPK3.Desc" advise="1">
        <values>
          <value t="str">
            <val>IOCHP-MAXIONON NM</val>
          </value>
        </values>
      </ddeItem>
      <ddeItem name="MYPK3.Estado" advise="1">
        <values>
          <value t="str">
            <val>Normal</val>
          </value>
        </values>
      </ddeItem>
      <ddeItem name="MYPK3.Exerc" advise="1">
        <values>
          <value>
            <val>0</val>
          </value>
        </values>
      </ddeItem>
      <ddeItem name="MYPK3.Expir" advise="1">
        <values>
          <value t="nil">
            <val>1</val>
          </value>
        </values>
      </ddeItem>
      <ddeItem name="MYPK3.Fech" advise="1">
        <values cols="2">
          <value>
            <val>15</val>
          </value>
          <value>
            <val>27</val>
          </value>
        </values>
      </ddeItem>
      <ddeItem name="MYPK3.Hora" advise="1">
        <values>
          <value>
            <val>0.7478935185185186</val>
          </value>
        </values>
      </ddeItem>
      <ddeItem name="MYPK3.IbovParticip" advise="1">
        <values>
          <value>
            <val>0</val>
          </value>
        </values>
      </ddeItem>
      <ddeItem name="MYPK3.PreTeo" advise="1">
        <values>
          <value>
            <val>0</val>
          </value>
        </values>
      </ddeItem>
      <ddeItem name="MYPK3.QtdNeg" advise="1">
        <values>
          <value>
            <val>8735</val>
          </value>
        </values>
      </ddeItem>
      <ddeItem name="MYPK3.Ult" advise="1">
        <values cols="2">
          <value>
            <val>15</val>
          </value>
          <value>
            <val>43</val>
          </value>
        </values>
      </ddeItem>
      <ddeItem name="MYPK3.Var12M" advise="1">
        <values cols="2">
          <value>
            <val>15</val>
          </value>
          <value>
            <val>66</val>
          </value>
        </values>
      </ddeItem>
      <ddeItem name="MYPK3.VarAnual" advise="1">
        <values cols="2">
          <value>
            <val>5</val>
          </value>
          <value>
            <val>32</val>
          </value>
        </values>
      </ddeItem>
      <ddeItem name="MYPK3.VarMes" advise="1">
        <values cols="2">
          <value>
            <val>-1</val>
          </value>
          <value>
            <val>53</val>
          </value>
        </values>
      </ddeItem>
      <ddeItem name="MYPK3.VarPer" advise="1">
        <values cols="2">
          <value>
            <val>1</val>
          </value>
          <value>
            <val>4</val>
          </value>
        </values>
      </ddeItem>
      <ddeItem name="MYPK3.VarSem" advise="1">
        <values cols="2">
          <value>
            <val>1</val>
          </value>
          <value>
            <val>4</val>
          </value>
        </values>
      </ddeItem>
      <ddeItem name="MYPK3.Vol" advise="1">
        <values>
          <value>
            <val>25509910</val>
          </value>
        </values>
      </ddeItem>
      <ddeItem name="NEOE3.Desc" advise="1">
        <values>
          <value t="str">
            <val>NEOENERGIA ON NM</val>
          </value>
        </values>
      </ddeItem>
      <ddeItem name="NEOE3.Estado" advise="1">
        <values>
          <value t="str">
            <val>Normal</val>
          </value>
        </values>
      </ddeItem>
      <ddeItem name="NEOE3.Exerc" advise="1">
        <values>
          <value>
            <val>0</val>
          </value>
        </values>
      </ddeItem>
      <ddeItem name="NEOE3.Expir" advise="1">
        <values>
          <value t="nil">
            <val>1</val>
          </value>
        </values>
      </ddeItem>
      <ddeItem name="NEOE3.Fech" advise="1">
        <values cols="2">
          <value>
            <val>17</val>
          </value>
          <value>
            <val>5</val>
          </value>
        </values>
      </ddeItem>
      <ddeItem name="NEOE3.Hora" advise="1">
        <values>
          <value>
            <val>0.74282407407407414</val>
          </value>
        </values>
      </ddeItem>
      <ddeItem name="NEOE3.IbovParticip" advise="1">
        <values>
          <value>
            <val>0</val>
          </value>
        </values>
      </ddeItem>
      <ddeItem name="NEOE3.PreTeo" advise="1">
        <values>
          <value>
            <val>0</val>
          </value>
        </values>
      </ddeItem>
      <ddeItem name="NEOE3.QtdNeg" advise="1">
        <values>
          <value>
            <val>3842</val>
          </value>
        </values>
      </ddeItem>
      <ddeItem name="NEOE3.Ult" advise="1">
        <values cols="2">
          <value>
            <val>17</val>
          </value>
          <value>
            <val>2</val>
          </value>
        </values>
      </ddeItem>
      <ddeItem name="NEOE3.Var12M" advise="1">
        <values cols="2">
          <value>
            <val>4</val>
          </value>
          <value>
            <val>67</val>
          </value>
        </values>
      </ddeItem>
      <ddeItem name="NEOE3.VarAnual" advise="1">
        <values cols="2">
          <value>
            <val>10</val>
          </value>
          <value>
            <val>9</val>
          </value>
        </values>
      </ddeItem>
      <ddeItem name="NEOE3.VarMes" advise="1">
        <values cols="2">
          <value>
            <val>14</val>
          </value>
          <value>
            <val>92</val>
          </value>
        </values>
      </ddeItem>
      <ddeItem name="NEOE3.VarPer" advise="1">
        <values cols="2">
          <value>
            <val>0</val>
          </value>
          <value>
            <val>17</val>
          </value>
        </values>
      </ddeItem>
      <ddeItem name="NEOE3.VarSem" advise="1">
        <values cols="2">
          <value>
            <val>0</val>
          </value>
          <value>
            <val>11</val>
          </value>
        </values>
      </ddeItem>
      <ddeItem name="NEOE3.Vol" advise="1">
        <values>
          <value>
            <val>18304640</val>
          </value>
        </values>
      </ddeItem>
      <ddeItem name="NGRD3.Desc" advise="1">
        <values>
          <value t="str">
            <val>NEOGRID ON NM</val>
          </value>
        </values>
      </ddeItem>
      <ddeItem name="NGRD3.Estado" advise="1">
        <values>
          <value t="str">
            <val>Normal</val>
          </value>
        </values>
      </ddeItem>
      <ddeItem name="NGRD3.Exerc" advise="1">
        <values>
          <value>
            <val>0</val>
          </value>
        </values>
      </ddeItem>
      <ddeItem name="NGRD3.Expir" advise="1">
        <values>
          <value t="nil">
            <val>1</val>
          </value>
        </values>
      </ddeItem>
      <ddeItem name="NGRD3.Fech" advise="1">
        <values cols="2">
          <value>
            <val>1</val>
          </value>
          <value>
            <val>96</val>
          </value>
        </values>
      </ddeItem>
      <ddeItem name="NGRD3.Hora" advise="1">
        <values>
          <value>
            <val>0.74052083333333341</val>
          </value>
        </values>
      </ddeItem>
      <ddeItem name="NGRD3.IbovParticip" advise="1">
        <values>
          <value>
            <val>0</val>
          </value>
        </values>
      </ddeItem>
      <ddeItem name="NGRD3.PreTeo" advise="1">
        <values>
          <value>
            <val>0</val>
          </value>
        </values>
      </ddeItem>
      <ddeItem name="NGRD3.QtdNeg" advise="1">
        <values>
          <value>
            <val>780</val>
          </value>
        </values>
      </ddeItem>
      <ddeItem name="NGRD3.Ult" advise="1">
        <values cols="2">
          <value>
            <val>1</val>
          </value>
          <value>
            <val>91</val>
          </value>
        </values>
      </ddeItem>
      <ddeItem name="NGRD3.Var12M" advise="1">
        <values cols="2">
          <value>
            <val>-67</val>
          </value>
          <value>
            <val>23</val>
          </value>
        </values>
      </ddeItem>
      <ddeItem name="NGRD3.VarAnual" advise="1">
        <values cols="2">
          <value>
            <val>-26</val>
          </value>
          <value>
            <val>81</val>
          </value>
        </values>
      </ddeItem>
      <ddeItem name="NGRD3.VarMes" advise="1">
        <values cols="2">
          <value>
            <val>-4</val>
          </value>
          <value>
            <val>5</val>
          </value>
        </values>
      </ddeItem>
      <ddeItem name="NGRD3.VarPer" advise="1">
        <values cols="2">
          <value>
            <val>-2</val>
          </value>
          <value>
            <val>55</val>
          </value>
        </values>
      </ddeItem>
      <ddeItem name="NGRD3.VarSem" advise="1">
        <values cols="2">
          <value>
            <val>-2</val>
          </value>
          <value>
            <val>55</val>
          </value>
        </values>
      </ddeItem>
      <ddeItem name="NGRD3.Vol" advise="1">
        <values>
          <value>
            <val>1015413</val>
          </value>
        </values>
      </ddeItem>
      <ddeItem name="NTCO3.Desc" advise="1">
        <values>
          <value t="str">
            <val>GRUPO NATURAON NM</val>
          </value>
        </values>
      </ddeItem>
      <ddeItem name="NTCO3.Estado" advise="1">
        <values>
          <value t="str">
            <val>Normal</val>
          </value>
        </values>
      </ddeItem>
      <ddeItem name="NTCO3.Exerc" advise="1">
        <values>
          <value>
            <val>0</val>
          </value>
        </values>
      </ddeItem>
      <ddeItem name="NTCO3.Expir" advise="1">
        <values>
          <value t="nil">
            <val>1</val>
          </value>
        </values>
      </ddeItem>
      <ddeItem name="NTCO3.Fech" advise="1">
        <values cols="2">
          <value>
            <val>14</val>
          </value>
          <value>
            <val>47</val>
          </value>
        </values>
      </ddeItem>
      <ddeItem name="NTCO3.Hora" advise="1">
        <values>
          <value>
            <val>0.74989583333333332</val>
          </value>
        </values>
      </ddeItem>
      <ddeItem name="NTCO3.IbovParticip" advise="1">
        <values cols="2">
          <value>
            <val>0</val>
          </value>
          <value>
            <val>6017</val>
          </value>
        </values>
      </ddeItem>
      <ddeItem name="NTCO3.PreTeo" advise="1">
        <values>
          <value>
            <val>0</val>
          </value>
        </values>
      </ddeItem>
      <ddeItem name="NTCO3.QtdNeg" advise="1">
        <values>
          <value>
            <val>26673</val>
          </value>
        </values>
      </ddeItem>
      <ddeItem name="NTCO3.Ult" advise="1">
        <values cols="2">
          <value>
            <val>14</val>
          </value>
          <value>
            <val>9</val>
          </value>
        </values>
      </ddeItem>
      <ddeItem name="NTCO3.Var12M" advise="1">
        <values cols="2">
          <value>
            <val>-73</val>
          </value>
          <value>
            <val>2</val>
          </value>
        </values>
      </ddeItem>
      <ddeItem name="NTCO3.VarAnual" advise="1">
        <values cols="2">
          <value>
            <val>-44</val>
          </value>
          <value>
            <val>24</val>
          </value>
        </values>
      </ddeItem>
      <ddeItem name="NTCO3.VarMes" advise="1">
        <values cols="2">
          <value>
            <val>-9</val>
          </value>
          <value>
            <val>56</val>
          </value>
        </values>
      </ddeItem>
      <ddeItem name="NTCO3.VarPer" advise="1">
        <values cols="2">
          <value>
            <val>-2</val>
          </value>
          <value>
            <val>62</val>
          </value>
        </values>
      </ddeItem>
      <ddeItem name="NTCO3.VarSem" advise="1">
        <values cols="2">
          <value>
            <val>-2</val>
          </value>
          <value>
            <val>62</val>
          </value>
        </values>
      </ddeItem>
      <ddeItem name="NTCO3.Vol" advise="1">
        <values>
          <value>
            <val>167291742</val>
          </value>
        </values>
      </ddeItem>
      <ddeItem name="OIBR3.Desc" advise="1">
        <values>
          <value t="str">
            <val>OI ON N1</val>
          </value>
        </values>
      </ddeItem>
      <ddeItem name="OIBR3.Estado" advise="1">
        <values>
          <value t="str">
            <val>Normal</val>
          </value>
        </values>
      </ddeItem>
      <ddeItem name="OIBR3.Exerc" advise="1">
        <values>
          <value>
            <val>0</val>
          </value>
        </values>
      </ddeItem>
      <ddeItem name="OIBR3.Expir" advise="1">
        <values>
          <value t="nil">
            <val>1</val>
          </value>
        </values>
      </ddeItem>
      <ddeItem name="OIBR3.Fech" advise="1">
        <values cols="2">
          <value>
            <val>0</val>
          </value>
          <value>
            <val>58</val>
          </value>
        </values>
      </ddeItem>
      <ddeItem name="OIBR3.Hora" advise="1">
        <values>
          <value>
            <val>0.74993055555555566</val>
          </value>
        </values>
      </ddeItem>
      <ddeItem name="OIBR3.IbovParticip" advise="1">
        <values>
          <value>
            <val>0</val>
          </value>
        </values>
      </ddeItem>
      <ddeItem name="OIBR3.PreTeo" advise="1">
        <values>
          <value>
            <val>0</val>
          </value>
        </values>
      </ddeItem>
      <ddeItem name="OIBR3.QtdNeg" advise="1">
        <values>
          <value>
            <val>6416</val>
          </value>
        </values>
      </ddeItem>
      <ddeItem name="OIBR3.Ult" advise="1">
        <values cols="2">
          <value>
            <val>0</val>
          </value>
          <value>
            <val>59</val>
          </value>
        </values>
      </ddeItem>
      <ddeItem name="OIBR3.Var12M" advise="1">
        <values cols="2">
          <value>
            <val>-43</val>
          </value>
          <value>
            <val>26</val>
          </value>
        </values>
      </ddeItem>
      <ddeItem name="OIBR3.VarAnual" advise="1">
        <values cols="2">
          <value>
            <val>-22</val>
          </value>
          <value>
            <val>36</val>
          </value>
        </values>
      </ddeItem>
      <ddeItem name="OIBR3.VarMes" advise="1">
        <values cols="2">
          <value>
            <val>28</val>
          </value>
          <value>
            <val>26</val>
          </value>
        </values>
      </ddeItem>
      <ddeItem name="OIBR3.VarPer" advise="1">
        <values cols="2">
          <value>
            <val>1</val>
          </value>
          <value>
            <val>72</val>
          </value>
        </values>
      </ddeItem>
      <ddeItem name="OIBR3.VarSem" advise="1">
        <values cols="2">
          <value>
            <val>1</val>
          </value>
          <value>
            <val>72</val>
          </value>
        </values>
      </ddeItem>
      <ddeItem name="OIBR3.Vol" advise="1">
        <values>
          <value>
            <val>53800442</val>
          </value>
        </values>
      </ddeItem>
      <ddeItem name="OIBR4.Desc" advise="1">
        <values>
          <value t="str">
            <val>OI PN N1</val>
          </value>
        </values>
      </ddeItem>
      <ddeItem name="OIBR4.Estado" advise="1">
        <values>
          <value t="str">
            <val>Normal</val>
          </value>
        </values>
      </ddeItem>
      <ddeItem name="OIBR4.Exerc" advise="1">
        <values>
          <value>
            <val>0</val>
          </value>
        </values>
      </ddeItem>
      <ddeItem name="OIBR4.Expir" advise="1">
        <values>
          <value t="nil">
            <val>1</val>
          </value>
        </values>
      </ddeItem>
      <ddeItem name="OIBR4.Fech" advise="1">
        <values cols="2">
          <value>
            <val>1</val>
          </value>
          <value>
            <val>12</val>
          </value>
        </values>
      </ddeItem>
      <ddeItem name="OIBR4.Hora" advise="1">
        <values>
          <value>
            <val>0.74934027777777779</val>
          </value>
        </values>
      </ddeItem>
      <ddeItem name="OIBR4.IbovParticip" advise="1">
        <values>
          <value>
            <val>0</val>
          </value>
        </values>
      </ddeItem>
      <ddeItem name="OIBR4.PreTeo" advise="1">
        <values>
          <value>
            <val>0</val>
          </value>
        </values>
      </ddeItem>
      <ddeItem name="OIBR4.QtdNeg" advise="1">
        <values>
          <value>
            <val>711</val>
          </value>
        </values>
      </ddeItem>
      <ddeItem name="OIBR4.Ult" advise="1">
        <values cols="2">
          <value>
            <val>1</val>
          </value>
          <value>
            <val>13</val>
          </value>
        </values>
      </ddeItem>
      <ddeItem name="OIBR4.Var12M" advise="1">
        <values cols="2">
          <value>
            <val>-38</val>
          </value>
          <value>
            <val>58</val>
          </value>
        </values>
      </ddeItem>
      <ddeItem name="OIBR4.VarAnual" advise="1">
        <values cols="2">
          <value>
            <val>-11</val>
          </value>
          <value>
            <val>71</val>
          </value>
        </values>
      </ddeItem>
      <ddeItem name="OIBR4.VarMes" advise="1">
        <values cols="2">
          <value>
            <val>17</val>
          </value>
          <value>
            <val>7</val>
          </value>
        </values>
      </ddeItem>
      <ddeItem name="OIBR4.VarPer" advise="1">
        <values cols="2">
          <value>
            <val>0</val>
          </value>
          <value>
            <val>89</val>
          </value>
        </values>
      </ddeItem>
      <ddeItem name="OIBR4.VarSem" advise="1">
        <values cols="2">
          <value>
            <val>0</val>
          </value>
          <value>
            <val>89</val>
          </value>
        </values>
      </ddeItem>
      <ddeItem name="OIBR4.Vol" advise="1">
        <values>
          <value>
            <val>2107723</val>
          </value>
        </values>
      </ddeItem>
      <ddeItem name="PCAR3.Desc" advise="1">
        <values>
          <value t="str">
            <val>P.ACUCAR-CBDON NM</val>
          </value>
        </values>
      </ddeItem>
      <ddeItem name="PCAR3.Estado" advise="1">
        <values>
          <value t="str">
            <val>Normal</val>
          </value>
        </values>
      </ddeItem>
      <ddeItem name="PCAR3.Exerc" advise="1">
        <values>
          <value>
            <val>0</val>
          </value>
        </values>
      </ddeItem>
      <ddeItem name="PCAR3.Expir" advise="1">
        <values>
          <value t="nil">
            <val>1</val>
          </value>
        </values>
      </ddeItem>
      <ddeItem name="PCAR3.Fech" advise="1">
        <values cols="2">
          <value>
            <val>18</val>
          </value>
          <value>
            <val>95</val>
          </value>
        </values>
      </ddeItem>
      <ddeItem name="PCAR3.Hora" advise="1">
        <values>
          <value>
            <val>0.74989583333333332</val>
          </value>
        </values>
      </ddeItem>
      <ddeItem name="PCAR3.IbovParticip" advise="1">
        <values cols="2">
          <value>
            <val>0</val>
          </value>
          <value>
            <val>1481</val>
          </value>
        </values>
      </ddeItem>
      <ddeItem name="PCAR3.PreTeo" advise="1">
        <values>
          <value>
            <val>0</val>
          </value>
        </values>
      </ddeItem>
      <ddeItem name="PCAR3.QtdNeg" advise="1">
        <values>
          <value>
            <val>6544</val>
          </value>
        </values>
      </ddeItem>
      <ddeItem name="PCAR3.Ult" advise="1">
        <values cols="2">
          <value>
            <val>18</val>
          </value>
          <value>
            <val>77</val>
          </value>
        </values>
      </ddeItem>
      <ddeItem name="PCAR3.Var12M" advise="1">
        <values cols="2">
          <value>
            <val>-35</val>
          </value>
          <value>
            <val>25</val>
          </value>
        </values>
      </ddeItem>
      <ddeItem name="PCAR3.VarAnual" advise="1">
        <values cols="2">
          <value>
            <val>-12</val>
          </value>
          <value>
            <val>37</val>
          </value>
        </values>
      </ddeItem>
      <ddeItem name="PCAR3.VarMes" advise="1">
        <values cols="2">
          <value>
            <val>15</val>
          </value>
          <value>
            <val>15</val>
          </value>
        </values>
      </ddeItem>
      <ddeItem name="PCAR3.VarPer" advise="1">
        <values cols="2">
          <value>
            <val>0</val>
          </value>
          <value>
            <val>94</val>
          </value>
        </values>
      </ddeItem>
      <ddeItem name="PCAR3.VarSem" advise="1">
        <values cols="2">
          <value>
            <val>0</val>
          </value>
          <value>
            <val>94</val>
          </value>
        </values>
      </ddeItem>
      <ddeItem name="PCAR3.Vol" advise="1">
        <values>
          <value>
            <val>24224643</val>
          </value>
        </values>
      </ddeItem>
      <ddeItem name="PETR3.Desc" advise="1">
        <values>
          <value t="str">
            <val>PETROBRAS ON EDJ N2</val>
          </value>
        </values>
      </ddeItem>
      <ddeItem name="PETR3.Estado" advise="1">
        <values>
          <value t="str">
            <val>Normal</val>
          </value>
        </values>
      </ddeItem>
      <ddeItem name="PETR3.Exerc" advise="1">
        <values>
          <value>
            <val>0</val>
          </value>
        </values>
      </ddeItem>
      <ddeItem name="PETR3.Expir" advise="1">
        <values>
          <value t="nil">
            <val>1</val>
          </value>
        </values>
      </ddeItem>
      <ddeItem name="PETR3.Fech" advise="1">
        <values cols="2">
          <value>
            <val>35</val>
          </value>
          <value>
            <val>31</val>
          </value>
        </values>
      </ddeItem>
      <ddeItem name="PETR3.Hora" advise="1">
        <values>
          <value>
            <val>0.74946759259259255</val>
          </value>
        </values>
      </ddeItem>
      <ddeItem name="PETR3.IbovParticip" advise="1">
        <values cols="2">
          <value>
            <val>4</val>
          </value>
          <value>
            <val>7592</val>
          </value>
        </values>
      </ddeItem>
      <ddeItem name="PETR3.PreTeo" advise="1">
        <values>
          <value>
            <val>0</val>
          </value>
        </values>
      </ddeItem>
      <ddeItem name="PETR3.QtdNeg" advise="1">
        <values>
          <value>
            <val>36501</val>
          </value>
        </values>
      </ddeItem>
      <ddeItem name="PETR3.Ult" advise="1">
        <values cols="2">
          <value>
            <val>35</val>
          </value>
          <value>
            <val>9</val>
          </value>
        </values>
      </ddeItem>
      <ddeItem name="PETR3.Var12M" advise="1">
        <values cols="2">
          <value>
            <val>109</val>
          </value>
          <value>
            <val>45</val>
          </value>
        </values>
      </ddeItem>
      <ddeItem name="PETR3.VarAnual" advise="1">
        <values cols="2">
          <value>
            <val>66</val>
          </value>
          <value>
            <val>74</val>
          </value>
        </values>
      </ddeItem>
      <ddeItem name="PETR3.VarMes" advise="1">
        <values cols="2">
          <value>
            <val>16</val>
          </value>
          <value>
            <val>1</val>
          </value>
        </values>
      </ddeItem>
      <ddeItem name="PETR3.VarPer" advise="1">
        <values cols="2">
          <value>
            <val>1</val>
          </value>
          <value>
            <val>67</val>
          </value>
        </values>
      </ddeItem>
      <ddeItem name="PETR3.VarSem" advise="1">
        <values cols="2">
          <value>
            <val>1</val>
          </value>
          <value>
            <val>67</val>
          </value>
        </values>
      </ddeItem>
      <ddeItem name="PETR3.Vol" advise="1">
        <values>
          <value>
            <val>680381906</val>
          </value>
        </values>
      </ddeItem>
      <ddeItem name="PETR4.Desc" advise="1">
        <values>
          <value t="str">
            <val>PETROBRAS PN EDJ N2</val>
          </value>
        </values>
      </ddeItem>
      <ddeItem name="PETR4.Estado" advise="1">
        <values>
          <value t="str">
            <val>Normal</val>
          </value>
        </values>
      </ddeItem>
      <ddeItem name="PETR4.Exerc" advise="1">
        <values>
          <value>
            <val>0</val>
          </value>
        </values>
      </ddeItem>
      <ddeItem name="PETR4.Expir" advise="1">
        <values>
          <value t="nil">
            <val>1</val>
          </value>
        </values>
      </ddeItem>
      <ddeItem name="PETR4.Fech" advise="1">
        <values cols="2">
          <value>
            <val>31</val>
          </value>
          <value>
            <val>73</val>
          </value>
        </values>
      </ddeItem>
      <ddeItem name="PETR4.Hora" advise="1">
        <values>
          <value>
            <val>0.74981481481481482</val>
          </value>
        </values>
      </ddeItem>
      <ddeItem name="PETR4.IbovParticip" advise="1">
        <values cols="2">
          <value>
            <val>7</val>
          </value>
          <value>
            <val>2161</val>
          </value>
        </values>
      </ddeItem>
      <ddeItem name="PETR4.PreTeo" advise="1">
        <values>
          <value>
            <val>0</val>
          </value>
        </values>
      </ddeItem>
      <ddeItem name="PETR4.QtdNeg" advise="1">
        <values>
          <value>
            <val>132785</val>
          </value>
        </values>
      </ddeItem>
      <ddeItem name="PETR4.Ult" advise="1">
        <values cols="2">
          <value>
            <val>32</val>
          </value>
          <value>
            <val>32</val>
          </value>
        </values>
      </ddeItem>
      <ddeItem name="PETR4.Var12M" advise="1">
        <values cols="2">
          <value>
            <val>100</val>
          </value>
          <value>
            <val>87</val>
          </value>
        </values>
      </ddeItem>
      <ddeItem name="PETR4.VarAnual" advise="1">
        <values cols="2">
          <value>
            <val>68</val>
          </value>
          <value>
            <val>59</val>
          </value>
        </values>
      </ddeItem>
      <ddeItem name="PETR4.VarMes" advise="1">
        <values>
          <value>
            <val>16</val>
          </value>
        </values>
      </ddeItem>
      <ddeItem name="PETR4.VarPer" advise="1">
        <values cols="2">
          <value>
            <val>1</val>
          </value>
          <value>
            <val>85</val>
          </value>
        </values>
      </ddeItem>
      <ddeItem name="PETR4.VarSem" advise="1">
        <values cols="2">
          <value>
            <val>1</val>
          </value>
          <value>
            <val>85</val>
          </value>
        </values>
      </ddeItem>
      <ddeItem name="PETR4.Vol" advise="1">
        <values>
          <value>
            <val>2929160476</val>
          </value>
        </values>
      </ddeItem>
      <ddeItem name="PETZ3.Desc" advise="1">
        <values>
          <value t="str">
            <val>PETZ ON NM</val>
          </value>
        </values>
      </ddeItem>
      <ddeItem name="PETZ3.Estado" advise="1">
        <values>
          <value t="str">
            <val>Normal</val>
          </value>
        </values>
      </ddeItem>
      <ddeItem name="PETZ3.Exerc" advise="1">
        <values>
          <value>
            <val>0</val>
          </value>
        </values>
      </ddeItem>
      <ddeItem name="PETZ3.Expir" advise="1">
        <values>
          <value t="nil">
            <val>1</val>
          </value>
        </values>
      </ddeItem>
      <ddeItem name="PETZ3.Fech" advise="1">
        <values cols="2">
          <value>
            <val>10</val>
          </value>
          <value>
            <val>33</val>
          </value>
        </values>
      </ddeItem>
      <ddeItem name="PETZ3.Hora" advise="1">
        <values>
          <value>
            <val>0.74981481481481482</val>
          </value>
        </values>
      </ddeItem>
      <ddeItem name="PETZ3.IbovParticip" advise="1">
        <values cols="2">
          <value>
            <val>0</val>
          </value>
          <value>
            <val>1729</val>
          </value>
        </values>
      </ddeItem>
      <ddeItem name="PETZ3.PreTeo" advise="1">
        <values>
          <value>
            <val>0</val>
          </value>
        </values>
      </ddeItem>
      <ddeItem name="PETZ3.QtdNeg" advise="1">
        <values>
          <value>
            <val>29063</val>
          </value>
        </values>
      </ddeItem>
      <ddeItem name="PETZ3.Ult" advise="1">
        <values cols="2">
          <value>
            <val>9</val>
          </value>
          <value>
            <val>62</val>
          </value>
        </values>
      </ddeItem>
      <ddeItem name="PETZ3.Var12M" advise="1">
        <values cols="2">
          <value>
            <val>-65</val>
          </value>
          <value>
            <val>44</val>
          </value>
        </values>
      </ddeItem>
      <ddeItem name="PETZ3.VarAnual" advise="1">
        <values cols="2">
          <value>
            <val>-41</val>
          </value>
          <value>
            <val>16</val>
          </value>
        </values>
      </ddeItem>
      <ddeItem name="PETZ3.VarMes" advise="1">
        <values cols="2">
          <value>
            <val>0</val>
          </value>
          <value>
            <val>61</val>
          </value>
        </values>
      </ddeItem>
      <ddeItem name="PETZ3.VarPer" advise="1">
        <values cols="2">
          <value>
            <val>-6</val>
          </value>
          <value>
            <val>87</val>
          </value>
        </values>
      </ddeItem>
      <ddeItem name="PETZ3.VarSem" advise="1">
        <values cols="2">
          <value>
            <val>-6</val>
          </value>
          <value>
            <val>87</val>
          </value>
        </values>
      </ddeItem>
      <ddeItem name="PETZ3.Vol" advise="1">
        <values>
          <value>
            <val>272711735</val>
          </value>
        </values>
      </ddeItem>
      <ddeItem name="POSI3.Desc" advise="1">
        <values>
          <value t="str">
            <val>POSITIVO TECON NM</val>
          </value>
        </values>
      </ddeItem>
      <ddeItem name="POSI3.Estado" advise="1">
        <values>
          <value t="str">
            <val>Normal</val>
          </value>
        </values>
      </ddeItem>
      <ddeItem name="POSI3.Exerc" advise="1">
        <values>
          <value>
            <val>0</val>
          </value>
        </values>
      </ddeItem>
      <ddeItem name="POSI3.Expir" advise="1">
        <values>
          <value t="nil">
            <val>1</val>
          </value>
        </values>
      </ddeItem>
      <ddeItem name="POSI3.Fech" advise="1">
        <values cols="2">
          <value>
            <val>10</val>
          </value>
          <value>
            <val>4</val>
          </value>
        </values>
      </ddeItem>
      <ddeItem name="POSI3.Hora" advise="1">
        <values>
          <value>
            <val>0.74997685185185192</val>
          </value>
        </values>
      </ddeItem>
      <ddeItem name="POSI3.IbovParticip" advise="1">
        <values cols="2">
          <value>
            <val>0</val>
          </value>
          <value>
            <val>404</val>
          </value>
        </values>
      </ddeItem>
      <ddeItem name="POSI3.PreTeo" advise="1">
        <values>
          <value>
            <val>0</val>
          </value>
        </values>
      </ddeItem>
      <ddeItem name="POSI3.QtdNeg" advise="1">
        <values>
          <value>
            <val>10106</val>
          </value>
        </values>
      </ddeItem>
      <ddeItem name="POSI3.Ult" advise="1">
        <values cols="2">
          <value>
            <val>10</val>
          </value>
          <value>
            <val>57</val>
          </value>
        </values>
      </ddeItem>
      <ddeItem name="POSI3.Var12M" advise="1">
        <values cols="2">
          <value>
            <val>-10</val>
          </value>
          <value>
            <val>4</val>
          </value>
        </values>
      </ddeItem>
      <ddeItem name="POSI3.VarAnual" advise="1">
        <values cols="2">
          <value>
            <val>1</val>
          </value>
          <value>
            <val>43</val>
          </value>
        </values>
      </ddeItem>
      <ddeItem name="POSI3.VarMes" advise="1">
        <values cols="2">
          <value>
            <val>54</val>
          </value>
          <value>
            <val>8</val>
          </value>
        </values>
      </ddeItem>
      <ddeItem name="POSI3.VarPer" advise="1">
        <values cols="2">
          <value>
            <val>1</val>
          </value>
          <value>
            <val>63</val>
          </value>
        </values>
      </ddeItem>
      <ddeItem name="POSI3.VarSem" advise="1">
        <values cols="2">
          <value>
            <val>1</val>
          </value>
          <value>
            <val>63</val>
          </value>
        </values>
      </ddeItem>
      <ddeItem name="POSI3.Vol" advise="1">
        <values>
          <value>
            <val>36262821</val>
          </value>
        </values>
      </ddeItem>
      <ddeItem name="PRIO3.Desc" advise="1">
        <values>
          <value t="str">
            <val>PETRORIO ON NM</val>
          </value>
        </values>
      </ddeItem>
      <ddeItem name="PRIO3.Estado" advise="1">
        <values>
          <value t="str">
            <val>Normal</val>
          </value>
        </values>
      </ddeItem>
      <ddeItem name="PRIO3.Exerc" advise="1">
        <values>
          <value>
            <val>0</val>
          </value>
        </values>
      </ddeItem>
      <ddeItem name="PRIO3.Expir" advise="1">
        <values>
          <value t="nil">
            <val>1</val>
          </value>
        </values>
      </ddeItem>
      <ddeItem name="PRIO3.Fech" advise="1">
        <values cols="2">
          <value>
            <val>23</val>
          </value>
          <value>
            <val>97</val>
          </value>
        </values>
      </ddeItem>
      <ddeItem name="PRIO3.Hora" advise="1">
        <values>
          <value>
            <val>0.74986111111111109</val>
          </value>
        </values>
      </ddeItem>
      <ddeItem name="PRIO3.IbovParticip" advise="1">
        <values cols="2">
          <value>
            <val>1</val>
          </value>
          <value>
            <val>18</val>
          </value>
        </values>
      </ddeItem>
      <ddeItem name="PRIO3.PreTeo" advise="1">
        <values>
          <value>
            <val>0</val>
          </value>
        </values>
      </ddeItem>
      <ddeItem name="PRIO3.QtdNeg" advise="1">
        <values>
          <value>
            <val>50881</val>
          </value>
        </values>
      </ddeItem>
      <ddeItem name="PRIO3.Ult" advise="1">
        <values cols="2">
          <value>
            <val>23</val>
          </value>
          <value>
            <val>46</val>
          </value>
        </values>
      </ddeItem>
      <ddeItem name="PRIO3.Var12M" advise="1">
        <values cols="2">
          <value>
            <val>30</val>
          </value>
          <value>
            <val>11</val>
          </value>
        </values>
      </ddeItem>
      <ddeItem name="PRIO3.VarAnual" advise="1">
        <values cols="2">
          <value>
            <val>13</val>
          </value>
          <value>
            <val>49</val>
          </value>
        </values>
      </ddeItem>
      <ddeItem name="PRIO3.VarMes" advise="1">
        <values cols="2">
          <value>
            <val>-3</val>
          </value>
          <value>
            <val>9</val>
          </value>
        </values>
      </ddeItem>
      <ddeItem name="PRIO3.VarPer" advise="1">
        <values cols="2">
          <value>
            <val>-2</val>
          </value>
          <value>
            <val>12</val>
          </value>
        </values>
      </ddeItem>
      <ddeItem name="PRIO3.VarSem" advise="1">
        <values cols="2">
          <value>
            <val>-2</val>
          </value>
          <value>
            <val>8</val>
          </value>
        </values>
      </ddeItem>
      <ddeItem name="PRIO3.Vol" advise="1">
        <values>
          <value>
            <val>405583423</val>
          </value>
        </values>
      </ddeItem>
      <ddeItem name="PSSA3.Desc" advise="1">
        <values>
          <value t="str">
            <val>PORTO SEGUROON NM</val>
          </value>
        </values>
      </ddeItem>
      <ddeItem name="PSSA3.Estado" advise="1">
        <values>
          <value t="str">
            <val>Normal</val>
          </value>
        </values>
      </ddeItem>
      <ddeItem name="PSSA3.Exerc" advise="1">
        <values>
          <value>
            <val>0</val>
          </value>
        </values>
      </ddeItem>
      <ddeItem name="PSSA3.Expir" advise="1">
        <values>
          <value t="nil">
            <val>1</val>
          </value>
        </values>
      </ddeItem>
      <ddeItem name="PSSA3.Fech" advise="1">
        <values cols="2">
          <value>
            <val>20</val>
          </value>
          <value>
            <val>73</val>
          </value>
        </values>
      </ddeItem>
      <ddeItem name="PSSA3.Hora" advise="1">
        <values>
          <value>
            <val>0.74815972222222227</val>
          </value>
        </values>
      </ddeItem>
      <ddeItem name="PSSA3.IbovParticip" advise="1">
        <values>
          <value>
            <val>0</val>
          </value>
        </values>
      </ddeItem>
      <ddeItem name="PSSA3.PreTeo" advise="1">
        <values>
          <value>
            <val>0</val>
          </value>
        </values>
      </ddeItem>
      <ddeItem name="PSSA3.QtdNeg" advise="1">
        <values>
          <value>
            <val>7460</val>
          </value>
        </values>
      </ddeItem>
      <ddeItem name="PSSA3.Ult" advise="1">
        <values cols="2">
          <value>
            <val>20</val>
          </value>
          <value>
            <val>93</val>
          </value>
        </values>
      </ddeItem>
      <ddeItem name="PSSA3.Var12M" advise="1">
        <values cols="2">
          <value>
            <val>-26</val>
          </value>
          <value>
            <val>19</val>
          </value>
        </values>
      </ddeItem>
      <ddeItem name="PSSA3.VarAnual" advise="1">
        <values cols="2">
          <value>
            <val>2</val>
          </value>
          <value>
            <val>24</val>
          </value>
        </values>
      </ddeItem>
      <ddeItem name="PSSA3.VarMes" advise="1">
        <values cols="2">
          <value>
            <val>13</val>
          </value>
          <value>
            <val>62</val>
          </value>
        </values>
      </ddeItem>
      <ddeItem name="PSSA3.VarPer" advise="1">
        <values cols="2">
          <value>
            <val>0</val>
          </value>
          <value>
            <val>96</val>
          </value>
        </values>
      </ddeItem>
      <ddeItem name="PSSA3.VarSem" advise="1">
        <values cols="2">
          <value>
            <val>0</val>
          </value>
          <value>
            <val>96</val>
          </value>
        </values>
      </ddeItem>
      <ddeItem name="PSSA3.Vol" advise="1">
        <values>
          <value>
            <val>28708799</val>
          </value>
        </values>
      </ddeItem>
      <ddeItem name="QUAL3.Desc" advise="1">
        <values>
          <value t="str">
            <val>QUALICORP ON NM</val>
          </value>
        </values>
      </ddeItem>
      <ddeItem name="QUAL3.Estado" advise="1">
        <values>
          <value t="str">
            <val>Normal</val>
          </value>
        </values>
      </ddeItem>
      <ddeItem name="QUAL3.Exerc" advise="1">
        <values>
          <value>
            <val>0</val>
          </value>
        </values>
      </ddeItem>
      <ddeItem name="QUAL3.Expir" advise="1">
        <values>
          <value t="nil">
            <val>1</val>
          </value>
        </values>
      </ddeItem>
      <ddeItem name="QUAL3.Fech" advise="1">
        <values cols="2">
          <value>
            <val>10</val>
          </value>
          <value>
            <val>45</val>
          </value>
        </values>
      </ddeItem>
      <ddeItem name="QUAL3.Hora" advise="1">
        <values>
          <value>
            <val>0.74761574074074078</val>
          </value>
        </values>
      </ddeItem>
      <ddeItem name="QUAL3.IbovParticip" advise="1">
        <values cols="2">
          <value>
            <val>0</val>
          </value>
          <value>
            <val>1442</val>
          </value>
        </values>
      </ddeItem>
      <ddeItem name="QUAL3.PreTeo" advise="1">
        <values>
          <value>
            <val>0</val>
          </value>
        </values>
      </ddeItem>
      <ddeItem name="QUAL3.QtdNeg" advise="1">
        <values>
          <value>
            <val>9857</val>
          </value>
        </values>
      </ddeItem>
      <ddeItem name="QUAL3.Ult" advise="1">
        <values cols="2">
          <value>
            <val>10</val>
          </value>
          <value>
            <val>34</val>
          </value>
        </values>
      </ddeItem>
      <ddeItem name="QUAL3.Var12M" advise="1">
        <values cols="2">
          <value>
            <val>-48</val>
          </value>
          <value>
            <val>73</val>
          </value>
        </values>
      </ddeItem>
      <ddeItem name="QUAL3.VarAnual" advise="1">
        <values cols="2">
          <value>
            <val>-37</val>
          </value>
          <value>
            <val>56</val>
          </value>
        </values>
      </ddeItem>
      <ddeItem name="QUAL3.VarMes" advise="1">
        <values cols="2">
          <value>
            <val>4</val>
          </value>
          <value>
            <val>97</val>
          </value>
        </values>
      </ddeItem>
      <ddeItem name="QUAL3.VarPer" advise="1">
        <values cols="2">
          <value>
            <val>-1</val>
          </value>
          <value>
            <val>5</val>
          </value>
        </values>
      </ddeItem>
      <ddeItem name="QUAL3.VarSem" advise="1">
        <values cols="2">
          <value>
            <val>-1</val>
          </value>
          <value>
            <val>5</val>
          </value>
        </values>
      </ddeItem>
      <ddeItem name="QUAL3.Vol" advise="1">
        <values>
          <value>
            <val>23284411</val>
          </value>
        </values>
      </ddeItem>
      <ddeItem name="RADL3.Desc" advise="1">
        <values>
          <value t="str">
            <val>RAIADROGASILON NM</val>
          </value>
        </values>
      </ddeItem>
      <ddeItem name="RADL3.Estado" advise="1">
        <values>
          <value t="str">
            <val>Normal</val>
          </value>
        </values>
      </ddeItem>
      <ddeItem name="RADL3.Exerc" advise="1">
        <values>
          <value>
            <val>0</val>
          </value>
        </values>
      </ddeItem>
      <ddeItem name="RADL3.Expir" advise="1">
        <values>
          <value t="nil">
            <val>1</val>
          </value>
        </values>
      </ddeItem>
      <ddeItem name="RADL3.Fech" advise="1">
        <values cols="2">
          <value>
            <val>22</val>
          </value>
          <value>
            <val>8</val>
          </value>
        </values>
      </ddeItem>
      <ddeItem name="RADL3.Hora" advise="1">
        <values>
          <value>
            <val>0.74966435185185187</val>
          </value>
        </values>
      </ddeItem>
      <ddeItem name="RADL3.IbovParticip" advise="1">
        <values cols="2">
          <value>
            <val>1</val>
          </value>
          <value>
            <val>2162</val>
          </value>
        </values>
      </ddeItem>
      <ddeItem name="RADL3.PreTeo" advise="1">
        <values>
          <value>
            <val>0</val>
          </value>
        </values>
      </ddeItem>
      <ddeItem name="RADL3.QtdNeg" advise="1">
        <values>
          <value>
            <val>11334</val>
          </value>
        </values>
      </ddeItem>
      <ddeItem name="RADL3.Ult" advise="1">
        <values cols="2">
          <value>
            <val>22</val>
          </value>
          <value>
            <val>78</val>
          </value>
        </values>
      </ddeItem>
      <ddeItem name="RADL3.Var12M" advise="1">
        <values cols="2">
          <value>
            <val>-13</val>
          </value>
          <value>
            <val>71</val>
          </value>
        </values>
      </ddeItem>
      <ddeItem name="RADL3.VarAnual" advise="1">
        <values cols="2">
          <value>
            <val>-5</val>
          </value>
          <value>
            <val>9</val>
          </value>
        </values>
      </ddeItem>
      <ddeItem name="RADL3.VarMes" advise="1">
        <values cols="2">
          <value>
            <val>8</val>
          </value>
          <value>
            <val>57</val>
          </value>
        </values>
      </ddeItem>
      <ddeItem name="RADL3.VarPer" advise="1">
        <values cols="2">
          <value>
            <val>0</val>
          </value>
          <value>
            <val>8</val>
          </value>
        </values>
      </ddeItem>
      <ddeItem name="RADL3.VarSem" advise="1">
        <values cols="2">
          <value>
            <val>0</val>
          </value>
          <value>
            <val>4</val>
          </value>
        </values>
      </ddeItem>
      <ddeItem name="RADL3.Vol" advise="1">
        <values>
          <value>
            <val>103043051</val>
          </value>
        </values>
      </ddeItem>
      <ddeItem name="RAIL3.Desc" advise="1">
        <values>
          <value t="str">
            <val>RUMO S.A. ON NM</val>
          </value>
        </values>
      </ddeItem>
      <ddeItem name="RAIL3.Estado" advise="1">
        <values>
          <value t="str">
            <val>Normal</val>
          </value>
        </values>
      </ddeItem>
      <ddeItem name="RAIL3.Exerc" advise="1">
        <values>
          <value>
            <val>0</val>
          </value>
        </values>
      </ddeItem>
      <ddeItem name="RAIL3.Expir" advise="1">
        <values>
          <value t="nil">
            <val>1</val>
          </value>
        </values>
      </ddeItem>
      <ddeItem name="RAIL3.Fech" advise="1">
        <values cols="2">
          <value>
            <val>19</val>
          </value>
          <value>
            <val>33</val>
          </value>
        </values>
      </ddeItem>
      <ddeItem name="RAIL3.Hora" advise="1">
        <values>
          <value>
            <val>0.74290509259259263</val>
          </value>
        </values>
      </ddeItem>
      <ddeItem name="RAIL3.IbovParticip" advise="1">
        <values cols="2">
          <value>
            <val>1</val>
          </value>
          <value>
            <val>1707</val>
          </value>
        </values>
      </ddeItem>
      <ddeItem name="RAIL3.PreTeo" advise="1">
        <values>
          <value>
            <val>0</val>
          </value>
        </values>
      </ddeItem>
      <ddeItem name="RAIL3.QtdNeg" advise="1">
        <values>
          <value>
            <val>15695</val>
          </value>
        </values>
      </ddeItem>
      <ddeItem name="RAIL3.Ult" advise="1">
        <values cols="2">
          <value>
            <val>19</val>
          </value>
          <value>
            <val>23</val>
          </value>
        </values>
      </ddeItem>
      <ddeItem name="RAIL3.Var12M" advise="1">
        <values cols="2">
          <value>
            <val>6</val>
          </value>
          <value>
            <val>24</val>
          </value>
        </values>
      </ddeItem>
      <ddeItem name="RAIL3.VarAnual" advise="1">
        <values cols="2">
          <value>
            <val>8</val>
          </value>
          <value>
            <val>39</val>
          </value>
        </values>
      </ddeItem>
      <ddeItem name="RAIL3.VarMes" advise="1">
        <values cols="2">
          <value>
            <val>9</val>
          </value>
          <value>
            <val>63</val>
          </value>
        </values>
      </ddeItem>
      <ddeItem name="RAIL3.VarPer" advise="1">
        <values cols="2">
          <value>
            <val>0</val>
          </value>
          <value>
            <val>51</val>
          </value>
        </values>
      </ddeItem>
      <ddeItem name="RAIL3.VarSem" advise="1">
        <values cols="2">
          <value>
            <val>0</val>
          </value>
          <value>
            <val>46</val>
          </value>
        </values>
      </ddeItem>
      <ddeItem name="RAIL3.Vol" advise="1">
        <values>
          <value>
            <val>116646422</val>
          </value>
        </values>
      </ddeItem>
      <ddeItem name="RANI3.Desc" advise="1">
        <values>
          <value t="str">
            <val>IRANI ON NM</val>
          </value>
        </values>
      </ddeItem>
      <ddeItem name="RANI3.Estado" advise="1">
        <values>
          <value t="str">
            <val>Normal</val>
          </value>
        </values>
      </ddeItem>
      <ddeItem name="RANI3.Exerc" advise="1">
        <values>
          <value>
            <val>0</val>
          </value>
        </values>
      </ddeItem>
      <ddeItem name="RANI3.Expir" advise="1">
        <values>
          <value t="nil">
            <val>1</val>
          </value>
        </values>
      </ddeItem>
      <ddeItem name="RANI3.Fech" advise="1">
        <values cols="2">
          <value>
            <val>7</val>
          </value>
          <value>
            <val>26</val>
          </value>
        </values>
      </ddeItem>
      <ddeItem name="RANI3.Hora" advise="1">
        <values>
          <value>
            <val>0.74487268518518512</val>
          </value>
        </values>
      </ddeItem>
      <ddeItem name="RANI3.IbovParticip" advise="1">
        <values>
          <value>
            <val>0</val>
          </value>
        </values>
      </ddeItem>
      <ddeItem name="RANI3.PreTeo" advise="1">
        <values>
          <value>
            <val>0</val>
          </value>
        </values>
      </ddeItem>
      <ddeItem name="RANI3.QtdNeg" advise="1">
        <values>
          <value>
            <val>3682</val>
          </value>
        </values>
      </ddeItem>
      <ddeItem name="RANI3.Ult" advise="1">
        <values cols="2">
          <value>
            <val>7</val>
          </value>
          <value>
            <val>3</val>
          </value>
        </values>
      </ddeItem>
      <ddeItem name="RANI3.Var12M" advise="1">
        <values cols="2">
          <value>
            <val>9</val>
          </value>
          <value>
            <val>6</val>
          </value>
        </values>
      </ddeItem>
      <ddeItem name="RANI3.VarAnual" advise="1">
        <values cols="2">
          <value>
            <val>14</val>
          </value>
          <value>
            <val>59</val>
          </value>
        </values>
      </ddeItem>
      <ddeItem name="RANI3.VarMes" advise="1">
        <values cols="2">
          <value>
            <val>7</val>
          </value>
          <value>
            <val>35</val>
          </value>
        </values>
      </ddeItem>
      <ddeItem name="RANI3.VarPer" advise="1">
        <values cols="2">
          <value>
            <val>0</val>
          </value>
          <value>
            <val>55</val>
          </value>
        </values>
      </ddeItem>
      <ddeItem name="RANI3.VarSem" advise="1">
        <values cols="2">
          <value>
            <val>0</val>
          </value>
          <value>
            <val>55</val>
          </value>
        </values>
      </ddeItem>
      <ddeItem name="RANI3.Vol" advise="1">
        <values>
          <value>
            <val>9968578</val>
          </value>
        </values>
      </ddeItem>
      <ddeItem name="RAPT4.Desc" advise="1">
        <values>
          <value t="str">
            <val>RANDON PART PN N1</val>
          </value>
        </values>
      </ddeItem>
      <ddeItem name="RAPT4.Estado" advise="1">
        <values>
          <value t="str">
            <val>Normal</val>
          </value>
        </values>
      </ddeItem>
      <ddeItem name="RAPT4.Exerc" advise="1">
        <values>
          <value>
            <val>0</val>
          </value>
        </values>
      </ddeItem>
      <ddeItem name="RAPT4.Expir" advise="1">
        <values>
          <value t="nil">
            <val>1</val>
          </value>
        </values>
      </ddeItem>
      <ddeItem name="RAPT4.Fech" advise="1">
        <values cols="2">
          <value>
            <val>10</val>
          </value>
          <value>
            <val>6</val>
          </value>
        </values>
      </ddeItem>
      <ddeItem name="RAPT4.Hora" advise="1">
        <values>
          <value>
            <val>0.74960648148148146</val>
          </value>
        </values>
      </ddeItem>
      <ddeItem name="RAPT4.IbovParticip" advise="1">
        <values>
          <value>
            <val>0</val>
          </value>
        </values>
      </ddeItem>
      <ddeItem name="RAPT4.PreTeo" advise="1">
        <values>
          <value>
            <val>0</val>
          </value>
        </values>
      </ddeItem>
      <ddeItem name="RAPT4.QtdNeg" advise="1">
        <values>
          <value>
            <val>3717</val>
          </value>
        </values>
      </ddeItem>
      <ddeItem name="RAPT4.Ult" advise="1">
        <values cols="2">
          <value>
            <val>10</val>
          </value>
          <value>
            <val>53</val>
          </value>
        </values>
      </ddeItem>
      <ddeItem name="RAPT4.Var12M" advise="1">
        <values cols="2">
          <value>
            <val>-5</val>
          </value>
          <value>
            <val>3</val>
          </value>
        </values>
      </ddeItem>
      <ddeItem name="RAPT4.VarAnual" advise="1">
        <values cols="2">
          <value>
            <val>2</val>
          </value>
          <value>
            <val>3</val>
          </value>
        </values>
      </ddeItem>
      <ddeItem name="RAPT4.VarMes" advise="1">
        <values cols="2">
          <value>
            <val>4</val>
          </value>
          <value>
            <val>77</val>
          </value>
        </values>
      </ddeItem>
      <ddeItem name="RAPT4.VarPer" advise="1">
        <values cols="2">
          <value>
            <val>0</val>
          </value>
          <value>
            <val>66</val>
          </value>
        </values>
      </ddeItem>
      <ddeItem name="RAPT4.VarSem" advise="1">
        <values cols="2">
          <value>
            <val>0</val>
          </value>
          <value>
            <val>66</val>
          </value>
        </values>
      </ddeItem>
      <ddeItem name="RAPT4.Vol" advise="1">
        <values>
          <value>
            <val>11554005</val>
          </value>
        </values>
      </ddeItem>
      <ddeItem name="RDOR3.Desc" advise="1">
        <values>
          <value t="str">
            <val>REDE D OR ON NM</val>
          </value>
        </values>
      </ddeItem>
      <ddeItem name="RDOR3.Estado" advise="1">
        <values>
          <value t="str">
            <val>Normal</val>
          </value>
        </values>
      </ddeItem>
      <ddeItem name="RDOR3.Exerc" advise="1">
        <values>
          <value>
            <val>0</val>
          </value>
        </values>
      </ddeItem>
      <ddeItem name="RDOR3.Expir" advise="1">
        <values>
          <value t="nil">
            <val>1</val>
          </value>
        </values>
      </ddeItem>
      <ddeItem name="RDOR3.Fech" advise="1">
        <values cols="2">
          <value>
            <val>34</val>
          </value>
          <value>
            <val>83</val>
          </value>
        </values>
      </ddeItem>
      <ddeItem name="RDOR3.Hora" advise="1">
        <values>
          <value>
            <val>0.74895833333333339</val>
          </value>
        </values>
      </ddeItem>
      <ddeItem name="RDOR3.IbovParticip" advise="1">
        <values cols="2">
          <value>
            <val>1</val>
          </value>
          <value>
            <val>3391</val>
          </value>
        </values>
      </ddeItem>
      <ddeItem name="RDOR3.PreTeo" advise="1">
        <values>
          <value>
            <val>0</val>
          </value>
        </values>
      </ddeItem>
      <ddeItem name="RDOR3.QtdNeg" advise="1">
        <values>
          <value>
            <val>13260</val>
          </value>
        </values>
      </ddeItem>
      <ddeItem name="RDOR3.Ult" advise="1">
        <values cols="2">
          <value>
            <val>33</val>
          </value>
          <value>
            <val>72</val>
          </value>
        </values>
      </ddeItem>
      <ddeItem name="RDOR3.Var12M" advise="1">
        <values cols="2">
          <value>
            <val>-54</val>
          </value>
          <value>
            <val>47</val>
          </value>
        </values>
      </ddeItem>
      <ddeItem name="RDOR3.VarAnual" advise="1">
        <values cols="2">
          <value>
            <val>-24</val>
          </value>
          <value>
            <val>41</val>
          </value>
        </values>
      </ddeItem>
      <ddeItem name="RDOR3.VarMes" advise="1">
        <values cols="2">
          <value>
            <val>4</val>
          </value>
          <value>
            <val>13</val>
          </value>
        </values>
      </ddeItem>
      <ddeItem name="RDOR3.VarPer" advise="1">
        <values cols="2">
          <value>
            <val>-3</val>
          </value>
          <value>
            <val>18</val>
          </value>
        </values>
      </ddeItem>
      <ddeItem name="RDOR3.VarSem" advise="1">
        <values cols="2">
          <value>
            <val>-3</val>
          </value>
          <value>
            <val>18</val>
          </value>
        </values>
      </ddeItem>
      <ddeItem name="RDOR3.Vol" advise="1">
        <values>
          <value>
            <val>106723683</val>
          </value>
        </values>
      </ddeItem>
      <ddeItem name="RENT3.Desc" advise="1">
        <values>
          <value t="str">
            <val>LOCALIZA ON NM</val>
          </value>
        </values>
      </ddeItem>
      <ddeItem name="RENT3.Estado" advise="1">
        <values>
          <value t="str">
            <val>Normal</val>
          </value>
        </values>
      </ddeItem>
      <ddeItem name="RENT3.Exerc" advise="1">
        <values>
          <value>
            <val>0</val>
          </value>
        </values>
      </ddeItem>
      <ddeItem name="RENT3.Expir" advise="1">
        <values>
          <value t="nil">
            <val>1</val>
          </value>
        </values>
      </ddeItem>
      <ddeItem name="RENT3.Fech" advise="1">
        <values cols="2">
          <value>
            <val>62</val>
          </value>
          <value>
            <val>75</val>
          </value>
        </values>
      </ddeItem>
      <ddeItem name="RENT3.Hora" advise="1">
        <values>
          <value>
            <val>0.74859953703703708</val>
          </value>
        </values>
      </ddeItem>
      <ddeItem name="RENT3.IbovParticip" advise="1">
        <values cols="2">
          <value>
            <val>2</val>
          </value>
          <value>
            <val>2992</val>
          </value>
        </values>
      </ddeItem>
      <ddeItem name="RENT3.PreTeo" advise="1">
        <values>
          <value>
            <val>0</val>
          </value>
        </values>
      </ddeItem>
      <ddeItem name="RENT3.QtdNeg" advise="1">
        <values>
          <value>
            <val>15136</val>
          </value>
        </values>
      </ddeItem>
      <ddeItem name="RENT3.Ult" advise="1">
        <values cols="2">
          <value>
            <val>61</val>
          </value>
          <value>
            <val>9</val>
          </value>
        </values>
      </ddeItem>
      <ddeItem name="RENT3.Var12M" advise="1">
        <values cols="2">
          <value>
            <val>6</val>
          </value>
          <value>
            <val>85</val>
          </value>
        </values>
      </ddeItem>
      <ddeItem name="RENT3.VarAnual" advise="1">
        <values cols="2">
          <value>
            <val>17</val>
          </value>
          <value>
            <val>97</val>
          </value>
        </values>
      </ddeItem>
      <ddeItem name="RENT3.VarMes" advise="1">
        <values cols="2">
          <value>
            <val>7</val>
          </value>
          <value>
            <val>44</val>
          </value>
        </values>
      </ddeItem>
      <ddeItem name="RENT3.VarPer" advise="1">
        <values cols="2">
          <value>
            <val>-1</val>
          </value>
          <value>
            <val>35</val>
          </value>
        </values>
      </ddeItem>
      <ddeItem name="RENT3.VarSem" advise="1">
        <values cols="2">
          <value>
            <val>-1</val>
          </value>
          <value>
            <val>35</val>
          </value>
        </values>
      </ddeItem>
      <ddeItem name="RENT3.Vol" advise="1">
        <values>
          <value>
            <val>164598370</val>
          </value>
        </values>
      </ddeItem>
      <ddeItem name="RRRP3.Desc" advise="1">
        <values>
          <value t="str">
            <val>3R PETROLEUMON NM</val>
          </value>
        </values>
      </ddeItem>
      <ddeItem name="RRRP3.Estado" advise="1">
        <values>
          <value t="str">
            <val>Normal</val>
          </value>
        </values>
      </ddeItem>
      <ddeItem name="RRRP3.Exerc" advise="1">
        <values>
          <value>
            <val>0</val>
          </value>
        </values>
      </ddeItem>
      <ddeItem name="RRRP3.Expir" advise="1">
        <values>
          <value t="nil">
            <val>1</val>
          </value>
        </values>
      </ddeItem>
      <ddeItem name="RRRP3.Fech" advise="1">
        <values cols="2">
          <value>
            <val>34</val>
          </value>
          <value>
            <val>83</val>
          </value>
        </values>
      </ddeItem>
      <ddeItem name="RRRP3.Hora" advise="1">
        <values>
          <value>
            <val>0.74994212962962958</val>
          </value>
        </values>
      </ddeItem>
      <ddeItem name="RRRP3.IbovParticip" advise="1">
        <values cols="2">
          <value>
            <val>0</val>
          </value>
          <value>
            <val>3476</val>
          </value>
        </values>
      </ddeItem>
      <ddeItem name="RRRP3.PreTeo" advise="1">
        <values>
          <value>
            <val>0</val>
          </value>
        </values>
      </ddeItem>
      <ddeItem name="RRRP3.QtdNeg" advise="1">
        <values>
          <value>
            <val>11890</val>
          </value>
        </values>
      </ddeItem>
      <ddeItem name="RRRP3.Ult" advise="1">
        <values cols="2">
          <value>
            <val>34</val>
          </value>
          <value>
            <val>24</val>
          </value>
        </values>
      </ddeItem>
      <ddeItem name="RRRP3.Var12M" advise="1">
        <values cols="2">
          <value>
            <val>-1</val>
          </value>
          <value>
            <val>97</val>
          </value>
        </values>
      </ddeItem>
      <ddeItem name="RRRP3.VarAnual" advise="1">
        <values cols="2">
          <value>
            <val>2</val>
          </value>
          <value>
            <val>8</val>
          </value>
        </values>
      </ddeItem>
      <ddeItem name="RRRP3.VarMes" advise="1">
        <values cols="2">
          <value>
            <val>0</val>
          </value>
          <value>
            <val>64</val>
          </value>
        </values>
      </ddeItem>
      <ddeItem name="RRRP3.VarPer" advise="1">
        <values cols="2">
          <value>
            <val>-1</val>
          </value>
          <value>
            <val>69</val>
          </value>
        </values>
      </ddeItem>
      <ddeItem name="RRRP3.VarSem" advise="1">
        <values cols="2">
          <value>
            <val>-1</val>
          </value>
          <value>
            <val>69</val>
          </value>
        </values>
      </ddeItem>
      <ddeItem name="RRRP3.Vol" advise="1">
        <values>
          <value>
            <val>114727095</val>
          </value>
        </values>
      </ddeItem>
      <ddeItem name="SANB11.Desc" advise="1">
        <values>
          <value t="str">
            <val>SANTANDER BRUNT EJ</val>
          </value>
        </values>
      </ddeItem>
      <ddeItem name="SANB11.Estado" advise="1">
        <values>
          <value t="str">
            <val>Normal</val>
          </value>
        </values>
      </ddeItem>
      <ddeItem name="SANB11.Exerc" advise="1">
        <values>
          <value>
            <val>0</val>
          </value>
        </values>
      </ddeItem>
      <ddeItem name="SANB11.Expir" advise="1">
        <values>
          <value t="nil">
            <val>1</val>
          </value>
        </values>
      </ddeItem>
      <ddeItem name="SANB11.Fech" advise="1">
        <values cols="2">
          <value>
            <val>30</val>
          </value>
          <value>
            <val>1</val>
          </value>
        </values>
      </ddeItem>
      <ddeItem name="SANB11.Hora" advise="1">
        <values>
          <value>
            <val>0.74833333333333341</val>
          </value>
        </values>
      </ddeItem>
      <ddeItem name="SANB11.IbovParticip" advise="1">
        <values cols="2">
          <value>
            <val>0</val>
          </value>
          <value>
            <val>5421</val>
          </value>
        </values>
      </ddeItem>
      <ddeItem name="SANB11.PreTeo" advise="1">
        <values>
          <value>
            <val>0</val>
          </value>
        </values>
      </ddeItem>
      <ddeItem name="SANB11.QtdNeg" advise="1">
        <values>
          <value>
            <val>7116</val>
          </value>
        </values>
      </ddeItem>
      <ddeItem name="SANB11.Ult" advise="1">
        <values cols="2">
          <value>
            <val>29</val>
          </value>
          <value>
            <val>69</val>
          </value>
        </values>
      </ddeItem>
      <ddeItem name="SANB11.Var12M" advise="1">
        <values cols="2">
          <value>
            <val>-15</val>
          </value>
          <value>
            <val>34</val>
          </value>
        </values>
      </ddeItem>
      <ddeItem name="SANB11.VarAnual" advise="1">
        <values cols="2">
          <value>
            <val>4</val>
          </value>
          <value>
            <val>6</val>
          </value>
        </values>
      </ddeItem>
      <ddeItem name="SANB11.VarMes" advise="1">
        <values cols="2">
          <value>
            <val>6</val>
          </value>
          <value>
            <val>33</val>
          </value>
        </values>
      </ddeItem>
      <ddeItem name="SANB11.VarPer" advise="1">
        <values cols="2">
          <value>
            <val>-1</val>
          </value>
          <value>
            <val>6</val>
          </value>
        </values>
      </ddeItem>
      <ddeItem name="SANB11.VarSem" advise="1">
        <values cols="2">
          <value>
            <val>-1</val>
          </value>
          <value>
            <val>6</val>
          </value>
        </values>
      </ddeItem>
      <ddeItem name="SANB11.Vol" advise="1">
        <values>
          <value>
            <val>39573177</val>
          </value>
        </values>
      </ddeItem>
      <ddeItem name="SAPR11.Desc" advise="1">
        <values>
          <value t="str">
            <val>SANEPAR UNT N2</val>
          </value>
        </values>
      </ddeItem>
      <ddeItem name="SAPR11.Estado" advise="1">
        <values>
          <value t="str">
            <val>Normal</val>
          </value>
        </values>
      </ddeItem>
      <ddeItem name="SAPR11.Exerc" advise="1">
        <values>
          <value>
            <val>0</val>
          </value>
        </values>
      </ddeItem>
      <ddeItem name="SAPR11.Expir" advise="1">
        <values>
          <value t="nil">
            <val>1</val>
          </value>
        </values>
      </ddeItem>
      <ddeItem name="SAPR11.Fech" advise="1">
        <values cols="2">
          <value>
            <val>18</val>
          </value>
          <value>
            <val>4</val>
          </value>
        </values>
      </ddeItem>
      <ddeItem name="SAPR11.Hora" advise="1">
        <values>
          <value>
            <val>0.7413657407407408</val>
          </value>
        </values>
      </ddeItem>
      <ddeItem name="SAPR11.IbovParticip" advise="1">
        <values>
          <value>
            <val>0</val>
          </value>
        </values>
      </ddeItem>
      <ddeItem name="SAPR11.PreTeo" advise="1">
        <values>
          <value>
            <val>0</val>
          </value>
        </values>
      </ddeItem>
      <ddeItem name="SAPR11.QtdNeg" advise="1">
        <values>
          <value>
            <val>4341</val>
          </value>
        </values>
      </ddeItem>
      <ddeItem name="SAPR11.Ult" advise="1">
        <values cols="2">
          <value>
            <val>18</val>
          </value>
          <value>
            <val>29</val>
          </value>
        </values>
      </ddeItem>
      <ddeItem name="SAPR11.Var12M" advise="1">
        <values cols="2">
          <value>
            <val>-5</val>
          </value>
          <value>
            <val>96</val>
          </value>
        </values>
      </ddeItem>
      <ddeItem name="SAPR11.VarAnual" advise="1">
        <values cols="2">
          <value>
            <val>0</val>
          </value>
          <value>
            <val>71</val>
          </value>
        </values>
      </ddeItem>
      <ddeItem name="SAPR11.VarMes" advise="1">
        <values cols="2">
          <value>
            <val>-1</val>
          </value>
          <value>
            <val>2</val>
          </value>
        </values>
      </ddeItem>
      <ddeItem name="SAPR11.VarPer" advise="1">
        <values cols="2">
          <value>
            <val>0</val>
          </value>
          <value>
            <val>59</val>
          </value>
        </values>
      </ddeItem>
      <ddeItem name="SAPR11.VarSem" advise="1">
        <values cols="2">
          <value>
            <val>0</val>
          </value>
          <value>
            <val>59</val>
          </value>
        </values>
      </ddeItem>
      <ddeItem name="SAPR11.Vol" advise="1">
        <values>
          <value>
            <val>18676164</val>
          </value>
        </values>
      </ddeItem>
      <ddeItem name="SBSP3.Desc" advise="1">
        <values>
          <value t="str">
            <val>SABESP ON NM</val>
          </value>
        </values>
      </ddeItem>
      <ddeItem name="SBSP3.Estado" advise="1">
        <values>
          <value t="str">
            <val>Normal</val>
          </value>
        </values>
      </ddeItem>
      <ddeItem name="SBSP3.Exerc" advise="1">
        <values>
          <value>
            <val>0</val>
          </value>
        </values>
      </ddeItem>
      <ddeItem name="SBSP3.Expir" advise="1">
        <values>
          <value t="nil">
            <val>1</val>
          </value>
        </values>
      </ddeItem>
      <ddeItem name="SBSP3.Fech" advise="1">
        <values cols="2">
          <value>
            <val>46</val>
          </value>
          <value>
            <val>57</val>
          </value>
        </values>
      </ddeItem>
      <ddeItem name="SBSP3.Hora" advise="1">
        <values>
          <value>
            <val>0.74864583333333334</val>
          </value>
        </values>
      </ddeItem>
      <ddeItem name="SBSP3.IbovParticip" advise="1">
        <values cols="2">
          <value>
            <val>0</val>
          </value>
          <value>
            <val>7886</val>
          </value>
        </values>
      </ddeItem>
      <ddeItem name="SBSP3.PreTeo" advise="1">
        <values>
          <value>
            <val>0</val>
          </value>
        </values>
      </ddeItem>
      <ddeItem name="SBSP3.QtdNeg" advise="1">
        <values>
          <value>
            <val>9562</val>
          </value>
        </values>
      </ddeItem>
      <ddeItem name="SBSP3.Ult" advise="1">
        <values cols="2">
          <value>
            <val>46</val>
          </value>
          <value>
            <val>47</val>
          </value>
        </values>
      </ddeItem>
      <ddeItem name="SBSP3.Var12M" advise="1">
        <values cols="2">
          <value>
            <val>29</val>
          </value>
          <value>
            <val>4</val>
          </value>
        </values>
      </ddeItem>
      <ddeItem name="SBSP3.VarAnual" advise="1">
        <values cols="2">
          <value>
            <val>17</val>
          </value>
          <value>
            <val>7</val>
          </value>
        </values>
      </ddeItem>
      <ddeItem name="SBSP3.VarMes" advise="1">
        <values cols="2">
          <value>
            <val>4</val>
          </value>
          <value>
            <val>5</val>
          </value>
        </values>
      </ddeItem>
      <ddeItem name="SBSP3.VarPer" advise="1">
        <values cols="2">
          <value>
            <val>0</val>
          </value>
          <value>
            <val>21</val>
          </value>
        </values>
      </ddeItem>
      <ddeItem name="SBSP3.VarSem" advise="1">
        <values cols="2">
          <value>
            <val>0</val>
          </value>
          <value>
            <val>21</val>
          </value>
        </values>
      </ddeItem>
      <ddeItem name="SBSP3.Vol" advise="1">
        <values>
          <value>
            <val>85721753</val>
          </value>
        </values>
      </ddeItem>
      <ddeItem name="SEER3.Desc" advise="1">
        <values>
          <value t="str">
            <val>SER EDUCA ON NM</val>
          </value>
        </values>
      </ddeItem>
      <ddeItem name="SEER3.Estado" advise="1">
        <values>
          <value t="str">
            <val>Normal</val>
          </value>
        </values>
      </ddeItem>
      <ddeItem name="SEER3.Exerc" advise="1">
        <values>
          <value>
            <val>0</val>
          </value>
        </values>
      </ddeItem>
      <ddeItem name="SEER3.Expir" advise="1">
        <values>
          <value t="nil">
            <val>1</val>
          </value>
        </values>
      </ddeItem>
      <ddeItem name="SEER3.Fech" advise="1">
        <values cols="2">
          <value>
            <val>6</val>
          </value>
          <value>
            <val>5</val>
          </value>
        </values>
      </ddeItem>
      <ddeItem name="SEER3.Hora" advise="1">
        <values>
          <value>
            <val>0.74846064814814817</val>
          </value>
        </values>
      </ddeItem>
      <ddeItem name="SEER3.IbovParticip" advise="1">
        <values>
          <value>
            <val>0</val>
          </value>
        </values>
      </ddeItem>
      <ddeItem name="SEER3.PreTeo" advise="1">
        <values>
          <value>
            <val>0</val>
          </value>
        </values>
      </ddeItem>
      <ddeItem name="SEER3.QtdNeg" advise="1">
        <values>
          <value>
            <val>1879</val>
          </value>
        </values>
      </ddeItem>
      <ddeItem name="SEER3.Ult" advise="1">
        <values cols="2">
          <value>
            <val>6</val>
          </value>
          <value>
            <val>1</val>
          </value>
        </values>
      </ddeItem>
      <ddeItem name="SEER3.Var12M" advise="1">
        <values cols="2">
          <value>
            <val>-56</val>
          </value>
          <value>
            <val>42</val>
          </value>
        </values>
      </ddeItem>
      <ddeItem name="SEER3.VarAnual" advise="1">
        <values cols="2">
          <value>
            <val>-41</val>
          </value>
          <value>
            <val>84</val>
          </value>
        </values>
      </ddeItem>
      <ddeItem name="SEER3.VarMes" advise="1">
        <values cols="2">
          <value>
            <val>3</val>
          </value>
          <value>
            <val>56</val>
          </value>
        </values>
      </ddeItem>
      <ddeItem name="SEER3.VarPer" advise="1">
        <values cols="2">
          <value>
            <val>0</val>
          </value>
          <value>
            <val>82</val>
          </value>
        </values>
      </ddeItem>
      <ddeItem name="SEER3.VarSem" advise="1">
        <values cols="2">
          <value>
            <val>0</val>
          </value>
          <value>
            <val>82</val>
          </value>
        </values>
      </ddeItem>
      <ddeItem name="SEER3.Vol" advise="1">
        <values>
          <value>
            <val>2641396</val>
          </value>
        </values>
      </ddeItem>
      <ddeItem name="SLCE3.Desc" advise="1">
        <values>
          <value t="str">
            <val>SLC AGRICOLAON NM</val>
          </value>
        </values>
      </ddeItem>
      <ddeItem name="SLCE3.Estado" advise="1">
        <values>
          <value t="str">
            <val>Normal</val>
          </value>
        </values>
      </ddeItem>
      <ddeItem name="SLCE3.Exerc" advise="1">
        <values>
          <value>
            <val>0</val>
          </value>
        </values>
      </ddeItem>
      <ddeItem name="SLCE3.Expir" advise="1">
        <values>
          <value t="nil">
            <val>1</val>
          </value>
        </values>
      </ddeItem>
      <ddeItem name="SLCE3.Fech" advise="1">
        <values cols="2">
          <value>
            <val>43</val>
          </value>
          <value>
            <val>16</val>
          </value>
        </values>
      </ddeItem>
      <ddeItem name="SLCE3.Hora" advise="1">
        <values>
          <value>
            <val>0.74960648148148146</val>
          </value>
        </values>
      </ddeItem>
      <ddeItem name="SLCE3.IbovParticip" advise="1">
        <values cols="2">
          <value>
            <val>0</val>
          </value>
          <value>
            <val>2069</val>
          </value>
        </values>
      </ddeItem>
      <ddeItem name="SLCE3.PreTeo" advise="1">
        <values>
          <value>
            <val>0</val>
          </value>
        </values>
      </ddeItem>
      <ddeItem name="SLCE3.QtdNeg" advise="1">
        <values>
          <value>
            <val>8331</val>
          </value>
        </values>
      </ddeItem>
      <ddeItem name="SLCE3.Ult" advise="1">
        <values cols="2">
          <value>
            <val>43</val>
          </value>
          <value>
            <val>63</val>
          </value>
        </values>
      </ddeItem>
      <ddeItem name="SLCE3.Var12M" advise="1">
        <values cols="2">
          <value>
            <val>19</val>
          </value>
          <value>
            <val>3</val>
          </value>
        </values>
      </ddeItem>
      <ddeItem name="SLCE3.VarAnual" advise="1">
        <values cols="2">
          <value>
            <val>11</val>
          </value>
          <value>
            <val>72</val>
          </value>
        </values>
      </ddeItem>
      <ddeItem name="SLCE3.VarMes" advise="1">
        <values cols="2">
          <value>
            <val>-1</val>
          </value>
          <value>
            <val>4</val>
          </value>
        </values>
      </ddeItem>
      <ddeItem name="SLCE3.VarPer" advise="1">
        <values cols="2">
          <value>
            <val>1</val>
          </value>
          <value>
            <val>8</val>
          </value>
        </values>
      </ddeItem>
      <ddeItem name="SLCE3.VarSem" advise="1">
        <values cols="2">
          <value>
            <val>1</val>
          </value>
          <value>
            <val>8</val>
          </value>
        </values>
      </ddeItem>
      <ddeItem name="SLCE3.Vol" advise="1">
        <values>
          <value>
            <val>56225307</val>
          </value>
        </values>
      </ddeItem>
      <ddeItem name="SOMA3.Desc" advise="1">
        <values>
          <value t="str">
            <val>GRUPO SOMA ON NM</val>
          </value>
        </values>
      </ddeItem>
      <ddeItem name="SOMA3.Estado" advise="1">
        <values>
          <value t="str">
            <val>Normal</val>
          </value>
        </values>
      </ddeItem>
      <ddeItem name="SOMA3.Exerc" advise="1">
        <values>
          <value>
            <val>0</val>
          </value>
        </values>
      </ddeItem>
      <ddeItem name="SOMA3.Expir" advise="1">
        <values>
          <value t="nil">
            <val>1</val>
          </value>
        </values>
      </ddeItem>
      <ddeItem name="SOMA3.Fech" advise="1">
        <values cols="2">
          <value>
            <val>12</val>
          </value>
          <value>
            <val>78</val>
          </value>
        </values>
      </ddeItem>
      <ddeItem name="SOMA3.Hora" advise="1">
        <values>
          <value>
            <val>0.74966435185185187</val>
          </value>
        </values>
      </ddeItem>
      <ddeItem name="SOMA3.IbovParticip" advise="1">
        <values cols="2">
          <value>
            <val>0</val>
          </value>
          <value>
            <val>3114</val>
          </value>
        </values>
      </ddeItem>
      <ddeItem name="SOMA3.PreTeo" advise="1">
        <values>
          <value>
            <val>0</val>
          </value>
        </values>
      </ddeItem>
      <ddeItem name="SOMA3.QtdNeg" advise="1">
        <values>
          <value>
            <val>10554</val>
          </value>
        </values>
      </ddeItem>
      <ddeItem name="SOMA3.Ult" advise="1">
        <values cols="2">
          <value>
            <val>12</val>
          </value>
          <value>
            <val>35</val>
          </value>
        </values>
      </ddeItem>
      <ddeItem name="SOMA3.Var12M" advise="1">
        <values cols="2">
          <value>
            <val>-34</val>
          </value>
          <value>
            <val>27</val>
          </value>
        </values>
      </ddeItem>
      <ddeItem name="SOMA3.VarAnual" advise="1">
        <values cols="2">
          <value>
            <val>-2</val>
          </value>
          <value>
            <val>21</val>
          </value>
        </values>
      </ddeItem>
      <ddeItem name="SOMA3.VarMes" advise="1">
        <values cols="2">
          <value>
            <val>21</val>
          </value>
          <value>
            <val>43</val>
          </value>
        </values>
      </ddeItem>
      <ddeItem name="SOMA3.VarPer" advise="1">
        <values cols="2">
          <value>
            <val>-3</val>
          </value>
          <value>
            <val>36</val>
          </value>
        </values>
      </ddeItem>
      <ddeItem name="SOMA3.VarSem" advise="1">
        <values cols="2">
          <value>
            <val>-3</val>
          </value>
          <value>
            <val>36</val>
          </value>
        </values>
      </ddeItem>
      <ddeItem name="SOMA3.Vol" advise="1">
        <values>
          <value>
            <val>45369447</val>
          </value>
        </values>
      </ddeItem>
      <ddeItem name="STBP3.Desc" advise="1">
        <values>
          <value t="str">
            <val>SANTOS BRP ON NM</val>
          </value>
        </values>
      </ddeItem>
      <ddeItem name="STBP3.Estado" advise="1">
        <values>
          <value t="str">
            <val>Normal</val>
          </value>
        </values>
      </ddeItem>
      <ddeItem name="STBP3.Exerc" advise="1">
        <values>
          <value>
            <val>0</val>
          </value>
        </values>
      </ddeItem>
      <ddeItem name="STBP3.Expir" advise="1">
        <values>
          <value t="nil">
            <val>1</val>
          </value>
        </values>
      </ddeItem>
      <ddeItem name="STBP3.Fech" advise="1">
        <values cols="2">
          <value>
            <val>7</val>
          </value>
          <value>
            <val>57</val>
          </value>
        </values>
      </ddeItem>
      <ddeItem name="STBP3.Hora" advise="1">
        <values>
          <value>
            <val>0.7493171296296296</val>
          </value>
        </values>
      </ddeItem>
      <ddeItem name="STBP3.IbovParticip" advise="1">
        <values>
          <value>
            <val>0</val>
          </value>
        </values>
      </ddeItem>
      <ddeItem name="STBP3.PreTeo" advise="1">
        <values>
          <value>
            <val>0</val>
          </value>
        </values>
      </ddeItem>
      <ddeItem name="STBP3.QtdNeg" advise="1">
        <values>
          <value>
            <val>7303</val>
          </value>
        </values>
      </ddeItem>
      <ddeItem name="STBP3.Ult" advise="1">
        <values cols="2">
          <value>
            <val>7</val>
          </value>
          <value>
            <val>64</val>
          </value>
        </values>
      </ddeItem>
      <ddeItem name="STBP3.Var12M" advise="1">
        <values cols="2">
          <value>
            <val>1</val>
          </value>
          <value>
            <val>5</val>
          </value>
        </values>
      </ddeItem>
      <ddeItem name="STBP3.VarAnual" advise="1">
        <values cols="2">
          <value>
            <val>19</val>
          </value>
          <value>
            <val>56</val>
          </value>
        </values>
      </ddeItem>
      <ddeItem name="STBP3.VarMes" advise="1">
        <values cols="2">
          <value>
            <val>17</val>
          </value>
          <value>
            <val>35</val>
          </value>
        </values>
      </ddeItem>
      <ddeItem name="STBP3.VarPer" advise="1">
        <values cols="2">
          <value>
            <val>0</val>
          </value>
          <value>
            <val>92</val>
          </value>
        </values>
      </ddeItem>
      <ddeItem name="STBP3.VarSem" advise="1">
        <values cols="2">
          <value>
            <val>0</val>
          </value>
          <value>
            <val>92</val>
          </value>
        </values>
      </ddeItem>
      <ddeItem name="STBP3.Vol" advise="1">
        <values>
          <value>
            <val>19437767</val>
          </value>
        </values>
      </ddeItem>
      <ddeItem name="StdDocumentName" ole="1" advise="1"/>
      <ddeItem name="SULA11.Desc" advise="1">
        <values>
          <value t="str">
            <val>SUL AMERICA UNT N2</val>
          </value>
        </values>
      </ddeItem>
      <ddeItem name="SULA11.Estado" advise="1">
        <values>
          <value t="str">
            <val>Normal</val>
          </value>
        </values>
      </ddeItem>
      <ddeItem name="SULA11.Exerc" advise="1">
        <values>
          <value>
            <val>0</val>
          </value>
        </values>
      </ddeItem>
      <ddeItem name="SULA11.Expir" advise="1">
        <values>
          <value t="nil">
            <val>1</val>
          </value>
        </values>
      </ddeItem>
      <ddeItem name="SULA11.Fech" advise="1">
        <values cols="2">
          <value>
            <val>25</val>
          </value>
          <value>
            <val>82</val>
          </value>
        </values>
      </ddeItem>
      <ddeItem name="SULA11.Hora" advise="1">
        <values>
          <value>
            <val>0.74944444444444447</val>
          </value>
        </values>
      </ddeItem>
      <ddeItem name="SULA11.IbovParticip" advise="1">
        <values cols="2">
          <value>
            <val>0</val>
          </value>
          <value>
            <val>3641</val>
          </value>
        </values>
      </ddeItem>
      <ddeItem name="SULA11.PreTeo" advise="1">
        <values>
          <value>
            <val>0</val>
          </value>
        </values>
      </ddeItem>
      <ddeItem name="SULA11.QtdNeg" advise="1">
        <values>
          <value>
            <val>7801</val>
          </value>
        </values>
      </ddeItem>
      <ddeItem name="SULA11.Ult" advise="1">
        <values cols="2">
          <value>
            <val>24</val>
          </value>
          <value>
            <val>82</val>
          </value>
        </values>
      </ddeItem>
      <ddeItem name="SULA11.Var12M" advise="1">
        <values cols="2">
          <value>
            <val>-15</val>
          </value>
          <value>
            <val>66</val>
          </value>
        </values>
      </ddeItem>
      <ddeItem name="SULA11.VarAnual" advise="1">
        <values cols="2">
          <value>
            <val>-9</val>
          </value>
          <value>
            <val>71</val>
          </value>
        </values>
      </ddeItem>
      <ddeItem name="SULA11.VarMes" advise="1">
        <values cols="2">
          <value>
            <val>5</val>
          </value>
          <value>
            <val>57</val>
          </value>
        </values>
      </ddeItem>
      <ddeItem name="SULA11.VarPer" advise="1">
        <values cols="2">
          <value>
            <val>-3</val>
          </value>
          <value>
            <val>87</val>
          </value>
        </values>
      </ddeItem>
      <ddeItem name="SULA11.VarSem" advise="1">
        <values cols="2">
          <value>
            <val>-3</val>
          </value>
          <value>
            <val>87</val>
          </value>
        </values>
      </ddeItem>
      <ddeItem name="SULA11.Vol" advise="1">
        <values>
          <value>
            <val>45979282</val>
          </value>
        </values>
      </ddeItem>
      <ddeItem name="SUZB3.Desc" advise="1">
        <values>
          <value t="str">
            <val>SUZANO S.A. ON NM</val>
          </value>
        </values>
      </ddeItem>
      <ddeItem name="SUZB3.Estado" advise="1">
        <values>
          <value t="str">
            <val>Normal</val>
          </value>
        </values>
      </ddeItem>
      <ddeItem name="SUZB3.Exerc" advise="1">
        <values>
          <value>
            <val>0</val>
          </value>
        </values>
      </ddeItem>
      <ddeItem name="SUZB3.Expir" advise="1">
        <values>
          <value t="nil">
            <val>1</val>
          </value>
        </values>
      </ddeItem>
      <ddeItem name="SUZB3.Fech" advise="1">
        <values cols="2">
          <value>
            <val>49</val>
          </value>
          <value>
            <val>97</val>
          </value>
        </values>
      </ddeItem>
      <ddeItem name="SUZB3.Hora" advise="1">
        <values>
          <value>
            <val>0.7494791666666667</val>
          </value>
        </values>
      </ddeItem>
      <ddeItem name="SUZB3.IbovParticip" advise="1">
        <values cols="2">
          <value>
            <val>1</val>
          </value>
          <value>
            <val>8087</val>
          </value>
        </values>
      </ddeItem>
      <ddeItem name="SUZB3.PreTeo" advise="1">
        <values>
          <value>
            <val>0</val>
          </value>
        </values>
      </ddeItem>
      <ddeItem name="SUZB3.QtdNeg" advise="1">
        <values>
          <value>
            <val>25808</val>
          </value>
        </values>
      </ddeItem>
      <ddeItem name="SUZB3.Ult" advise="1">
        <values cols="2">
          <value>
            <val>48</val>
          </value>
          <value>
            <val>6</val>
          </value>
        </values>
      </ddeItem>
      <ddeItem name="SUZB3.Var12M" advise="1">
        <values cols="2">
          <value>
            <val>-11</val>
          </value>
          <value>
            <val>37</val>
          </value>
        </values>
      </ddeItem>
      <ddeItem name="SUZB3.VarAnual" advise="1">
        <values cols="2">
          <value>
            <val>-16</val>
          </value>
          <value>
            <val>17</val>
          </value>
        </values>
      </ddeItem>
      <ddeItem name="SUZB3.VarMes" advise="1">
        <values cols="2">
          <value>
            <val>0</val>
          </value>
          <value>
            <val>64</val>
          </value>
        </values>
      </ddeItem>
      <ddeItem name="SUZB3.VarPer" advise="1">
        <values cols="2">
          <value>
            <val>-2</val>
          </value>
          <value>
            <val>74</val>
          </value>
        </values>
      </ddeItem>
      <ddeItem name="SUZB3.VarSem" advise="1">
        <values cols="2">
          <value>
            <val>-2</val>
          </value>
          <value>
            <val>74</val>
          </value>
        </values>
      </ddeItem>
      <ddeItem name="SUZB3.Vol" advise="1">
        <values>
          <value>
            <val>287783141</val>
          </value>
        </values>
      </ddeItem>
      <ddeItem name="TAEE11.Desc" advise="1">
        <values>
          <value t="str">
            <val>TAESA UNT EDJ N2</val>
          </value>
        </values>
      </ddeItem>
      <ddeItem name="TAEE11.Estado" advise="1">
        <values>
          <value t="str">
            <val>Normal</val>
          </value>
        </values>
      </ddeItem>
      <ddeItem name="TAEE11.Exerc" advise="1">
        <values>
          <value>
            <val>0</val>
          </value>
        </values>
      </ddeItem>
      <ddeItem name="TAEE11.Expir" advise="1">
        <values>
          <value t="nil">
            <val>1</val>
          </value>
        </values>
      </ddeItem>
      <ddeItem name="TAEE11.Fech" advise="1">
        <values cols="2">
          <value>
            <val>41</val>
          </value>
          <value>
            <val>5</val>
          </value>
        </values>
      </ddeItem>
      <ddeItem name="TAEE11.Hora" advise="1">
        <values>
          <value>
            <val>0.74965277777777783</val>
          </value>
        </values>
      </ddeItem>
      <ddeItem name="TAEE11.IbovParticip" advise="1">
        <values cols="2">
          <value>
            <val>0</val>
          </value>
          <value>
            <val>4517</val>
          </value>
        </values>
      </ddeItem>
      <ddeItem name="TAEE11.PreTeo" advise="1">
        <values>
          <value>
            <val>0</val>
          </value>
        </values>
      </ddeItem>
      <ddeItem name="TAEE11.QtdNeg" advise="1">
        <values>
          <value>
            <val>5929</val>
          </value>
        </values>
      </ddeItem>
      <ddeItem name="TAEE11.Ult" advise="1">
        <values cols="2">
          <value>
            <val>41</val>
          </value>
          <value>
            <val>54</val>
          </value>
        </values>
      </ddeItem>
      <ddeItem name="TAEE11.Var12M" advise="1">
        <values>
          <value>
            <val>16</val>
          </value>
        </values>
      </ddeItem>
      <ddeItem name="TAEE11.VarAnual" advise="1">
        <values cols="2">
          <value>
            <val>24</val>
          </value>
          <value>
            <val>33</val>
          </value>
        </values>
      </ddeItem>
      <ddeItem name="TAEE11.VarMes" advise="1">
        <values cols="2">
          <value>
            <val>6</val>
          </value>
          <value>
            <val>5</val>
          </value>
        </values>
      </ddeItem>
      <ddeItem name="TAEE11.VarPer" advise="1">
        <values cols="2">
          <value>
            <val>0</val>
          </value>
          <value>
            <val>9</val>
          </value>
        </values>
      </ddeItem>
      <ddeItem name="TAEE11.VarSem" advise="1">
        <values cols="2">
          <value>
            <val>0</val>
          </value>
          <value>
            <val>9</val>
          </value>
        </values>
      </ddeItem>
      <ddeItem name="TAEE11.Vol" advise="1">
        <values>
          <value>
            <val>49771453</val>
          </value>
        </values>
      </ddeItem>
      <ddeItem name="TCSA3.Desc" advise="1">
        <values>
          <value t="str">
            <val>TECNISA ON NM</val>
          </value>
        </values>
      </ddeItem>
      <ddeItem name="TCSA3.Estado" advise="1">
        <values>
          <value t="str">
            <val>Normal</val>
          </value>
        </values>
      </ddeItem>
      <ddeItem name="TCSA3.Exerc" advise="1">
        <values>
          <value>
            <val>0</val>
          </value>
        </values>
      </ddeItem>
      <ddeItem name="TCSA3.Expir" advise="1">
        <values>
          <value t="nil">
            <val>1</val>
          </value>
        </values>
      </ddeItem>
      <ddeItem name="TCSA3.Fech" advise="1">
        <values cols="2">
          <value>
            <val>2</val>
          </value>
          <value>
            <val>92</val>
          </value>
        </values>
      </ddeItem>
      <ddeItem name="TCSA3.Hora" advise="1">
        <values>
          <value>
            <val>0.71319444444444446</val>
          </value>
        </values>
      </ddeItem>
      <ddeItem name="TCSA3.IbovParticip" advise="1">
        <values>
          <value>
            <val>0</val>
          </value>
        </values>
      </ddeItem>
      <ddeItem name="TCSA3.PreTeo" advise="1">
        <values>
          <value>
            <val>0</val>
          </value>
        </values>
      </ddeItem>
      <ddeItem name="TCSA3.QtdNeg" advise="1">
        <values>
          <value>
            <val>422</val>
          </value>
        </values>
      </ddeItem>
      <ddeItem name="TCSA3.Ult" advise="1">
        <values cols="2">
          <value>
            <val>2</val>
          </value>
          <value>
            <val>94</val>
          </value>
        </values>
      </ddeItem>
      <ddeItem name="TCSA3.Var12M" advise="1">
        <values cols="2">
          <value>
            <val>-52</val>
          </value>
          <value>
            <val>3</val>
          </value>
        </values>
      </ddeItem>
      <ddeItem name="TCSA3.VarAnual" advise="1">
        <values cols="2">
          <value>
            <val>-18</val>
          </value>
          <value>
            <val>55</val>
          </value>
        </values>
      </ddeItem>
      <ddeItem name="TCSA3.VarMes" advise="1">
        <values cols="2">
          <value>
            <val>24</val>
          </value>
          <value>
            <val>5</val>
          </value>
        </values>
      </ddeItem>
      <ddeItem name="TCSA3.VarPer" advise="1">
        <values cols="2">
          <value>
            <val>0</val>
          </value>
          <value>
            <val>68</val>
          </value>
        </values>
      </ddeItem>
      <ddeItem name="TCSA3.VarSem" advise="1">
        <values cols="2">
          <value>
            <val>0</val>
          </value>
          <value>
            <val>68</val>
          </value>
        </values>
      </ddeItem>
      <ddeItem name="TCSA3.Vol" advise="1">
        <values>
          <value>
            <val>391327</val>
          </value>
        </values>
      </ddeItem>
      <ddeItem name="TIMS3.Desc" advise="1">
        <values>
          <value t="str">
            <val>TIM ON NM</val>
          </value>
        </values>
      </ddeItem>
      <ddeItem name="TIMS3.Estado" advise="1">
        <values>
          <value t="str">
            <val>Normal</val>
          </value>
        </values>
      </ddeItem>
      <ddeItem name="TIMS3.Exerc" advise="1">
        <values>
          <value>
            <val>0</val>
          </value>
        </values>
      </ddeItem>
      <ddeItem name="TIMS3.Expir" advise="1">
        <values>
          <value t="nil">
            <val>1</val>
          </value>
        </values>
      </ddeItem>
      <ddeItem name="TIMS3.Fech" advise="1">
        <values cols="2">
          <value>
            <val>12</val>
          </value>
          <value>
            <val>26</val>
          </value>
        </values>
      </ddeItem>
      <ddeItem name="TIMS3.Hora" advise="1">
        <values>
          <value>
            <val>0.74284722222222221</val>
          </value>
        </values>
      </ddeItem>
      <ddeItem name="TIMS3.IbovParticip" advise="1">
        <values cols="2">
          <value>
            <val>0</val>
          </value>
          <value>
            <val>4937</val>
          </value>
        </values>
      </ddeItem>
      <ddeItem name="TIMS3.PreTeo" advise="1">
        <values>
          <value>
            <val>0</val>
          </value>
        </values>
      </ddeItem>
      <ddeItem name="TIMS3.QtdNeg" advise="1">
        <values>
          <value>
            <val>12281</val>
          </value>
        </values>
      </ddeItem>
      <ddeItem name="TIMS3.Ult" advise="1">
        <values cols="2">
          <value>
            <val>12</val>
          </value>
          <value>
            <val>41</val>
          </value>
        </values>
      </ddeItem>
      <ddeItem name="TIMS3.Var12M" advise="1">
        <values cols="2">
          <value>
            <val>6</val>
          </value>
          <value>
            <val>6</val>
          </value>
        </values>
      </ddeItem>
      <ddeItem name="TIMS3.VarAnual" advise="1">
        <values cols="2">
          <value>
            <val>-4</val>
          </value>
          <value>
            <val>39</val>
          </value>
        </values>
      </ddeItem>
      <ddeItem name="TIMS3.VarMes" advise="1">
        <values cols="2">
          <value>
            <val>-1</val>
          </value>
          <value>
            <val>42</val>
          </value>
        </values>
      </ddeItem>
      <ddeItem name="TIMS3.VarPer" advise="1">
        <values cols="2">
          <value>
            <val>1</val>
          </value>
          <value>
            <val>22</val>
          </value>
        </values>
      </ddeItem>
      <ddeItem name="TIMS3.VarSem" advise="1">
        <values cols="2">
          <value>
            <val>1</val>
          </value>
          <value>
            <val>22</val>
          </value>
        </values>
      </ddeItem>
      <ddeItem name="TIMS3.Vol" advise="1">
        <values>
          <value>
            <val>62897511</val>
          </value>
        </values>
      </ddeItem>
      <ddeItem name="TOTS3.Desc" advise="1">
        <values>
          <value t="str">
            <val>TOTVS ON NM</val>
          </value>
        </values>
      </ddeItem>
      <ddeItem name="TOTS3.Estado" advise="1">
        <values>
          <value t="str">
            <val>Normal</val>
          </value>
        </values>
      </ddeItem>
      <ddeItem name="TOTS3.Exerc" advise="1">
        <values>
          <value>
            <val>0</val>
          </value>
        </values>
      </ddeItem>
      <ddeItem name="TOTS3.Expir" advise="1">
        <values>
          <value t="nil">
            <val>1</val>
          </value>
        </values>
      </ddeItem>
      <ddeItem name="TOTS3.Fech" advise="1">
        <values cols="2">
          <value>
            <val>30</val>
          </value>
          <value>
            <val>8</val>
          </value>
        </values>
      </ddeItem>
      <ddeItem name="TOTS3.Hora" advise="1">
        <values>
          <value>
            <val>0.74982638888888886</val>
          </value>
        </values>
      </ddeItem>
      <ddeItem name="TOTS3.IbovParticip" advise="1">
        <values cols="2">
          <value>
            <val>0</val>
          </value>
          <value>
            <val>7974</val>
          </value>
        </values>
      </ddeItem>
      <ddeItem name="TOTS3.PreTeo" advise="1">
        <values>
          <value>
            <val>0</val>
          </value>
        </values>
      </ddeItem>
      <ddeItem name="TOTS3.QtdNeg" advise="1">
        <values>
          <value>
            <val>16959</val>
          </value>
        </values>
      </ddeItem>
      <ddeItem name="TOTS3.Ult" advise="1">
        <values cols="2">
          <value>
            <val>30</val>
          </value>
          <value>
            <val>45</val>
          </value>
        </values>
      </ddeItem>
      <ddeItem name="TOTS3.Var12M" advise="1">
        <values cols="2">
          <value>
            <val>-17</val>
          </value>
          <value>
            <val>99</val>
          </value>
        </values>
      </ddeItem>
      <ddeItem name="TOTS3.VarAnual" advise="1">
        <values cols="2">
          <value>
            <val>6</val>
          </value>
          <value>
            <val>65</val>
          </value>
        </values>
      </ddeItem>
      <ddeItem name="TOTS3.VarMes" advise="1">
        <values cols="2">
          <value>
            <val>15</val>
          </value>
          <value>
            <val>86</val>
          </value>
        </values>
      </ddeItem>
      <ddeItem name="TOTS3.VarPer" advise="1">
        <values cols="2">
          <value>
            <val>-1</val>
          </value>
          <value>
            <val>13</val>
          </value>
        </values>
      </ddeItem>
      <ddeItem name="TOTS3.VarSem" advise="1">
        <values cols="2">
          <value>
            <val>-1</val>
          </value>
          <value>
            <val>1</val>
          </value>
        </values>
      </ddeItem>
      <ddeItem name="TOTS3.Vol" advise="1">
        <values>
          <value>
            <val>119828143</val>
          </value>
        </values>
      </ddeItem>
      <ddeItem name="TRAD3.Desc" advise="1">
        <values>
          <value t="str">
            <val>TC ON NM</val>
          </value>
        </values>
      </ddeItem>
      <ddeItem name="TRAD3.Estado" advise="1">
        <values>
          <value t="str">
            <val>Normal</val>
          </value>
        </values>
      </ddeItem>
      <ddeItem name="TRAD3.Exerc" advise="1">
        <values>
          <value>
            <val>0</val>
          </value>
        </values>
      </ddeItem>
      <ddeItem name="TRAD3.Expir" advise="1">
        <values>
          <value t="nil">
            <val>1</val>
          </value>
        </values>
      </ddeItem>
      <ddeItem name="TRAD3.Fech" advise="1">
        <values cols="2">
          <value>
            <val>4</val>
          </value>
          <value>
            <val>64</val>
          </value>
        </values>
      </ddeItem>
      <ddeItem name="TRAD3.Hora" advise="1">
        <values>
          <value>
            <val>0.74582175925925931</val>
          </value>
        </values>
      </ddeItem>
      <ddeItem name="TRAD3.IbovParticip" advise="1">
        <values>
          <value>
            <val>0</val>
          </value>
        </values>
      </ddeItem>
      <ddeItem name="TRAD3.PreTeo" advise="1">
        <values>
          <value>
            <val>0</val>
          </value>
        </values>
      </ddeItem>
      <ddeItem name="TRAD3.QtdNeg" advise="1">
        <values>
          <value>
            <val>1924</val>
          </value>
        </values>
      </ddeItem>
      <ddeItem name="TRAD3.Ult" advise="1">
        <values cols="2">
          <value>
            <val>4</val>
          </value>
          <value>
            <val>38</val>
          </value>
        </values>
      </ddeItem>
      <ddeItem name="TRAD3.Var12M" advise="1">
        <values cols="2">
          <value>
            <val>-47</val>
          </value>
          <value>
            <val>54</val>
          </value>
        </values>
      </ddeItem>
      <ddeItem name="TRAD3.VarAnual" advise="1">
        <values cols="2">
          <value>
            <val>-26</val>
          </value>
          <value>
            <val>63</val>
          </value>
        </values>
      </ddeItem>
      <ddeItem name="TRAD3.VarMes" advise="1">
        <values cols="2">
          <value>
            <val>-5</val>
          </value>
          <value>
            <val>19</val>
          </value>
        </values>
      </ddeItem>
      <ddeItem name="TRAD3.VarPer" advise="1">
        <values cols="2">
          <value>
            <val>-5</val>
          </value>
          <value>
            <val>6</val>
          </value>
        </values>
      </ddeItem>
      <ddeItem name="TRAD3.VarSem" advise="1">
        <values cols="2">
          <value>
            <val>-5</val>
          </value>
          <value>
            <val>6</val>
          </value>
        </values>
      </ddeItem>
      <ddeItem name="TRAD3.Vol" advise="1">
        <values>
          <value>
            <val>2612012</val>
          </value>
        </values>
      </ddeItem>
      <ddeItem name="TRPL4.Desc" advise="1">
        <values>
          <value t="str">
            <val>TRAN PAULISTPN N1</val>
          </value>
        </values>
      </ddeItem>
      <ddeItem name="TRPL4.Estado" advise="1">
        <values>
          <value t="str">
            <val>Normal</val>
          </value>
        </values>
      </ddeItem>
      <ddeItem name="TRPL4.Exerc" advise="1">
        <values>
          <value>
            <val>0</val>
          </value>
        </values>
      </ddeItem>
      <ddeItem name="TRPL4.Expir" advise="1">
        <values>
          <value t="nil">
            <val>1</val>
          </value>
        </values>
      </ddeItem>
      <ddeItem name="TRPL4.Fech" advise="1">
        <values cols="2">
          <value>
            <val>24</val>
          </value>
          <value>
            <val>44</val>
          </value>
        </values>
      </ddeItem>
      <ddeItem name="TRPL4.Hora" advise="1">
        <values>
          <value>
            <val>0.74950231481481477</val>
          </value>
        </values>
      </ddeItem>
      <ddeItem name="TRPL4.IbovParticip" advise="1">
        <values>
          <value>
            <val>0</val>
          </value>
        </values>
      </ddeItem>
      <ddeItem name="TRPL4.PreTeo" advise="1">
        <values>
          <value>
            <val>0</val>
          </value>
        </values>
      </ddeItem>
      <ddeItem name="TRPL4.QtdNeg" advise="1">
        <values>
          <value>
            <val>5376</val>
          </value>
        </values>
      </ddeItem>
      <ddeItem name="TRPL4.Ult" advise="1">
        <values cols="2">
          <value>
            <val>24</val>
          </value>
          <value>
            <val>31</val>
          </value>
        </values>
      </ddeItem>
      <ddeItem name="TRPL4.Var12M" advise="1">
        <values cols="2">
          <value>
            <val>6</val>
          </value>
          <value>
            <val>34</val>
          </value>
        </values>
      </ddeItem>
      <ddeItem name="TRPL4.VarAnual" advise="1">
        <values cols="2">
          <value>
            <val>0</val>
          </value>
          <value>
            <val>4</val>
          </value>
        </values>
      </ddeItem>
      <ddeItem name="TRPL4.VarMes" advise="1">
        <values cols="2">
          <value>
            <val>6</val>
          </value>
          <value>
            <val>66</val>
          </value>
        </values>
      </ddeItem>
      <ddeItem name="TRPL4.VarPer" advise="1">
        <values cols="2">
          <value>
            <val>0</val>
          </value>
          <value>
            <val>53</val>
          </value>
        </values>
      </ddeItem>
      <ddeItem name="TRPL4.VarSem" advise="1">
        <values cols="2">
          <value>
            <val>0</val>
          </value>
          <value>
            <val>53</val>
          </value>
        </values>
      </ddeItem>
      <ddeItem name="TRPL4.Vol" advise="1">
        <values>
          <value>
            <val>25898387</val>
          </value>
        </values>
      </ddeItem>
      <ddeItem name="TWTR34.Desc" advise="1">
        <values>
          <value t="str">
            <val>TWITTER DRN</val>
          </value>
        </values>
      </ddeItem>
      <ddeItem name="TWTR34.Estado" advise="1">
        <values>
          <value t="str">
            <val>Normal</val>
          </value>
        </values>
      </ddeItem>
      <ddeItem name="TWTR34.Exerc" advise="1">
        <values>
          <value>
            <val>0</val>
          </value>
        </values>
      </ddeItem>
      <ddeItem name="TWTR34.Expir" advise="1">
        <values>
          <value t="nil">
            <val>1</val>
          </value>
        </values>
      </ddeItem>
      <ddeItem name="TWTR34.Fech" advise="1">
        <values cols="2">
          <value>
            <val>113</val>
          </value>
          <value>
            <val>19</val>
          </value>
        </values>
      </ddeItem>
      <ddeItem name="TWTR34.Hora" advise="1">
        <values>
          <value>
            <val>0.73880787037037043</val>
          </value>
        </values>
      </ddeItem>
      <ddeItem name="TWTR34.IbovParticip" advise="1">
        <values>
          <value>
            <val>0</val>
          </value>
        </values>
      </ddeItem>
      <ddeItem name="TWTR34.PreTeo" advise="1">
        <values>
          <value>
            <val>0</val>
          </value>
        </values>
      </ddeItem>
      <ddeItem name="TWTR34.QtdNeg" advise="1">
        <values>
          <value>
            <val>49</val>
          </value>
        </values>
      </ddeItem>
      <ddeItem name="TWTR34.Ult" advise="1">
        <values cols="2">
          <value>
            <val>111</val>
          </value>
          <value>
            <val>2</val>
          </value>
        </values>
      </ddeItem>
      <ddeItem name="TWTR34.Var12M" advise="1">
        <values cols="2">
          <value>
            <val>-33</val>
          </value>
          <value>
            <val>73</val>
          </value>
        </values>
      </ddeItem>
      <ddeItem name="TWTR34.VarAnual" advise="1">
        <values cols="2">
          <value>
            <val>-10</val>
          </value>
          <value>
            <val>19</val>
          </value>
        </values>
      </ddeItem>
      <ddeItem name="TWTR34.VarMes" advise="1">
        <values cols="2">
          <value>
            <val>2</val>
          </value>
          <value>
            <val>13</val>
          </value>
        </values>
      </ddeItem>
      <ddeItem name="TWTR34.VarPer" advise="1">
        <values cols="2">
          <value>
            <val>-1</val>
          </value>
          <value>
            <val>75</val>
          </value>
        </values>
      </ddeItem>
      <ddeItem name="TWTR34.VarSem" advise="1">
        <values cols="2">
          <value>
            <val>-1</val>
          </value>
          <value>
            <val>75</val>
          </value>
        </values>
      </ddeItem>
      <ddeItem name="TWTR34.Vol" advise="1">
        <values>
          <value>
            <val>53503</val>
          </value>
        </values>
      </ddeItem>
      <ddeItem name="UGPA3.Desc" advise="1">
        <values>
          <value t="str">
            <val>ULTRAPAR ON NM</val>
          </value>
        </values>
      </ddeItem>
      <ddeItem name="UGPA3.Estado" advise="1">
        <values>
          <value t="str">
            <val>Normal</val>
          </value>
        </values>
      </ddeItem>
      <ddeItem name="UGPA3.Exerc" advise="1">
        <values>
          <value>
            <val>0</val>
          </value>
        </values>
      </ddeItem>
      <ddeItem name="UGPA3.Expir" advise="1">
        <values>
          <value t="nil">
            <val>1</val>
          </value>
        </values>
      </ddeItem>
      <ddeItem name="UGPA3.Fech" advise="1">
        <values cols="2">
          <value>
            <val>13</val>
          </value>
          <value>
            <val>57</val>
          </value>
        </values>
      </ddeItem>
      <ddeItem name="UGPA3.Hora" advise="1">
        <values>
          <value>
            <val>0.72920138888888886</val>
          </value>
        </values>
      </ddeItem>
      <ddeItem name="UGPA3.IbovParticip" advise="1">
        <values cols="2">
          <value>
            <val>0</val>
          </value>
          <value>
            <val>734</val>
          </value>
        </values>
      </ddeItem>
      <ddeItem name="UGPA3.PreTeo" advise="1">
        <values>
          <value>
            <val>0</val>
          </value>
        </values>
      </ddeItem>
      <ddeItem name="UGPA3.QtdNeg" advise="1">
        <values>
          <value>
            <val>21186</val>
          </value>
        </values>
      </ddeItem>
      <ddeItem name="UGPA3.Ult" advise="1">
        <values cols="2">
          <value>
            <val>13</val>
          </value>
          <value>
            <val>62</val>
          </value>
        </values>
      </ddeItem>
      <ddeItem name="UGPA3.Var12M" advise="1">
        <values cols="2">
          <value>
            <val>-7</val>
          </value>
          <value>
            <val>91</val>
          </value>
        </values>
      </ddeItem>
      <ddeItem name="UGPA3.VarAnual" advise="1">
        <values cols="2">
          <value>
            <val>-2</val>
          </value>
          <value>
            <val>64</val>
          </value>
        </values>
      </ddeItem>
      <ddeItem name="UGPA3.VarMes" advise="1">
        <values cols="2">
          <value>
            <val>7</val>
          </value>
          <value>
            <val>32</val>
          </value>
        </values>
      </ddeItem>
      <ddeItem name="UGPA3.VarPer" advise="1">
        <values cols="2">
          <value>
            <val>0</val>
          </value>
          <value>
            <val>36</val>
          </value>
        </values>
      </ddeItem>
      <ddeItem name="UGPA3.VarSem" advise="1">
        <values cols="2">
          <value>
            <val>0</val>
          </value>
          <value>
            <val>36</val>
          </value>
        </values>
      </ddeItem>
      <ddeItem name="UGPA3.Vol" advise="1">
        <values>
          <value>
            <val>89113996</val>
          </value>
        </values>
      </ddeItem>
      <ddeItem name="USIM5.Desc" advise="1">
        <values>
          <value t="str">
            <val>USIMINAS PNA N1</val>
          </value>
        </values>
      </ddeItem>
      <ddeItem name="USIM5.Estado" advise="1">
        <values>
          <value t="str">
            <val>Normal</val>
          </value>
        </values>
      </ddeItem>
      <ddeItem name="USIM5.Exerc" advise="1">
        <values>
          <value>
            <val>0</val>
          </value>
        </values>
      </ddeItem>
      <ddeItem name="USIM5.Expir" advise="1">
        <values>
          <value t="nil">
            <val>1</val>
          </value>
        </values>
      </ddeItem>
      <ddeItem name="USIM5.Fech" advise="1">
        <values cols="2">
          <value>
            <val>9</val>
          </value>
          <value>
            <val>5</val>
          </value>
        </values>
      </ddeItem>
      <ddeItem name="USIM5.Hora" advise="1">
        <values>
          <value>
            <val>0.74996527777777777</val>
          </value>
        </values>
      </ddeItem>
      <ddeItem name="USIM5.IbovParticip" advise="1">
        <values cols="2">
          <value>
            <val>0</val>
          </value>
          <value>
            <val>232</val>
          </value>
        </values>
      </ddeItem>
      <ddeItem name="USIM5.PreTeo" advise="1">
        <values>
          <value>
            <val>0</val>
          </value>
        </values>
      </ddeItem>
      <ddeItem name="USIM5.QtdNeg" advise="1">
        <values>
          <value>
            <val>13073</val>
          </value>
        </values>
      </ddeItem>
      <ddeItem name="USIM5.Ult" advise="1">
        <values cols="2">
          <value>
            <val>8</val>
          </value>
          <value>
            <val>88</val>
          </value>
        </values>
      </ddeItem>
      <ddeItem name="USIM5.Var12M" advise="1">
        <values cols="2">
          <value>
            <val>-41</val>
          </value>
          <value>
            <val>42</val>
          </value>
        </values>
      </ddeItem>
      <ddeItem name="USIM5.VarAnual" advise="1">
        <values cols="2">
          <value>
            <val>-38</val>
          </value>
          <value>
            <val>24</val>
          </value>
        </values>
      </ddeItem>
      <ddeItem name="USIM5.VarMes" advise="1">
        <values cols="2">
          <value>
            <val>3</val>
          </value>
          <value>
            <val>13</val>
          </value>
        </values>
      </ddeItem>
      <ddeItem name="USIM5.VarPer" advise="1">
        <values cols="2">
          <value>
            <val>-1</val>
          </value>
          <value>
            <val>87</val>
          </value>
        </values>
      </ddeItem>
      <ddeItem name="USIM5.VarSem" advise="1">
        <values cols="2">
          <value>
            <val>-1</val>
          </value>
          <value>
            <val>87</val>
          </value>
        </values>
      </ddeItem>
      <ddeItem name="USIM5.Vol" advise="1">
        <values>
          <value>
            <val>126037544</val>
          </value>
        </values>
      </ddeItem>
      <ddeItem name="VALE3.Desc" advise="1">
        <values>
          <value t="str">
            <val>VALE ON EDJ NM</val>
          </value>
        </values>
      </ddeItem>
      <ddeItem name="VALE3.Estado" advise="1">
        <values>
          <value t="str">
            <val>Normal</val>
          </value>
        </values>
      </ddeItem>
      <ddeItem name="VALE3.Exerc" advise="1">
        <values>
          <value>
            <val>0</val>
          </value>
        </values>
      </ddeItem>
      <ddeItem name="VALE3.Expir" advise="1">
        <values>
          <value t="nil">
            <val>1</val>
          </value>
        </values>
      </ddeItem>
      <ddeItem name="VALE3.Fech" advise="1">
        <values cols="2">
          <value>
            <val>66</val>
          </value>
          <value>
            <val>96</val>
          </value>
        </values>
      </ddeItem>
      <ddeItem name="VALE3.Hora" advise="1">
        <values>
          <value>
            <val>0.74982638888888886</val>
          </value>
        </values>
      </ddeItem>
      <ddeItem name="VALE3.IbovParticip" advise="1">
        <values cols="2">
          <value>
            <val>12</val>
          </value>
          <value>
            <val>568</val>
          </value>
        </values>
      </ddeItem>
      <ddeItem name="VALE3.PreTeo" advise="1">
        <values>
          <value>
            <val>0</val>
          </value>
        </values>
      </ddeItem>
      <ddeItem name="VALE3.QtdNeg" advise="1">
        <values>
          <value>
            <val>44806</val>
          </value>
        </values>
      </ddeItem>
      <ddeItem name="VALE3.Ult" advise="1">
        <values cols="2">
          <value>
            <val>66</val>
          </value>
          <value>
            <val>6</val>
          </value>
        </values>
      </ddeItem>
      <ddeItem name="VALE3.Var12M" advise="1">
        <values cols="2">
          <value>
            <val>-18</val>
          </value>
          <value>
            <val>65</val>
          </value>
        </values>
      </ddeItem>
      <ddeItem name="VALE3.VarAnual" advise="1">
        <values cols="2">
          <value>
            <val>-7</val>
          </value>
          <value>
            <val>8</val>
          </value>
        </values>
      </ddeItem>
      <ddeItem name="VALE3.VarMes" advise="1">
        <values cols="2">
          <value>
            <val>0</val>
          </value>
          <value>
            <val>76</val>
          </value>
        </values>
      </ddeItem>
      <ddeItem name="VALE3.VarPer" advise="1">
        <values cols="2">
          <value>
            <val>-1</val>
          </value>
          <value>
            <val>34</val>
          </value>
        </values>
      </ddeItem>
      <ddeItem name="VALE3.VarSem" advise="1">
        <values cols="2">
          <value>
            <val>-1</val>
          </value>
          <value>
            <val>32</val>
          </value>
        </values>
      </ddeItem>
      <ddeItem name="VALE3.Vol" advise="1">
        <values>
          <value>
            <val>1282739242</val>
          </value>
        </values>
      </ddeItem>
      <ddeItem name="VBBR3.Desc" advise="1">
        <values>
          <value t="str">
            <val>VIBRA ON NM</val>
          </value>
        </values>
      </ddeItem>
      <ddeItem name="VBBR3.Estado" advise="1">
        <values>
          <value t="str">
            <val>Normal</val>
          </value>
        </values>
      </ddeItem>
      <ddeItem name="VBBR3.Exerc" advise="1">
        <values>
          <value>
            <val>0</val>
          </value>
        </values>
      </ddeItem>
      <ddeItem name="VBBR3.Expir" advise="1">
        <values>
          <value t="nil">
            <val>1</val>
          </value>
        </values>
      </ddeItem>
      <ddeItem name="VBBR3.Fech" advise="1">
        <values cols="2">
          <value>
            <val>18</val>
          </value>
          <value>
            <val>68</val>
          </value>
        </values>
      </ddeItem>
      <ddeItem name="VBBR3.Hora" advise="1">
        <values>
          <value>
            <val>0.74920138888888888</val>
          </value>
        </values>
      </ddeItem>
      <ddeItem name="VBBR3.IbovParticip" advise="1">
        <values cols="2">
          <value>
            <val>1</val>
          </value>
          <value>
            <val>53</val>
          </value>
        </values>
      </ddeItem>
      <ddeItem name="VBBR3.PreTeo" advise="1">
        <values>
          <value>
            <val>0</val>
          </value>
        </values>
      </ddeItem>
      <ddeItem name="VBBR3.QtdNeg" advise="1">
        <values>
          <value>
            <val>20968</val>
          </value>
        </values>
      </ddeItem>
      <ddeItem name="VBBR3.Ult" advise="1">
        <values cols="2">
          <value>
            <val>18</val>
          </value>
          <value>
            <val>1</val>
          </value>
        </values>
      </ddeItem>
      <ddeItem name="VBBR3.Var12M" advise="1">
        <values cols="2">
          <value>
            <val>-29</val>
          </value>
          <value>
            <val>13</val>
          </value>
        </values>
      </ddeItem>
      <ddeItem name="VBBR3.VarAnual" advise="1">
        <values cols="2">
          <value>
            <val>-14</val>
          </value>
          <value>
            <val>94</val>
          </value>
        </values>
      </ddeItem>
      <ddeItem name="VBBR3.VarMes" advise="1">
        <values cols="2">
          <value>
            <val>8</val>
          </value>
          <value>
            <val>7</val>
          </value>
        </values>
      </ddeItem>
      <ddeItem name="VBBR3.VarPer" advise="1">
        <values cols="2">
          <value>
            <val>-3</val>
          </value>
          <value>
            <val>1</val>
          </value>
        </values>
      </ddeItem>
      <ddeItem name="VBBR3.VarSem" advise="1">
        <values cols="2">
          <value>
            <val>-3</val>
          </value>
          <value>
            <val>1</val>
          </value>
        </values>
      </ddeItem>
      <ddeItem name="VBBR3.Vol" advise="1">
        <values>
          <value>
            <val>166579457</val>
          </value>
        </values>
      </ddeItem>
      <ddeItem name="VIIA3.Desc" advise="1">
        <values>
          <value t="str">
            <val>VIA ON NM</val>
          </value>
        </values>
      </ddeItem>
      <ddeItem name="VIIA3.Estado" advise="1">
        <values>
          <value t="str">
            <val>Normal</val>
          </value>
        </values>
      </ddeItem>
      <ddeItem name="VIIA3.Exerc" advise="1">
        <values>
          <value>
            <val>0</val>
          </value>
        </values>
      </ddeItem>
      <ddeItem name="VIIA3.Expir" advise="1">
        <values>
          <value t="nil">
            <val>1</val>
          </value>
        </values>
      </ddeItem>
      <ddeItem name="VIIA3.Fech" advise="1">
        <values cols="2">
          <value>
            <val>3</val>
          </value>
          <value>
            <val>11</val>
          </value>
        </values>
      </ddeItem>
      <ddeItem name="VIIA3.Hora" advise="1">
        <values>
          <value>
            <val>0.74991898148148151</val>
          </value>
        </values>
      </ddeItem>
      <ddeItem name="VIIA3.IbovParticip" advise="1">
        <values cols="2">
          <value>
            <val>0</val>
          </value>
          <value>
            <val>2472</val>
          </value>
        </values>
      </ddeItem>
      <ddeItem name="VIIA3.PreTeo" advise="1">
        <values>
          <value>
            <val>0</val>
          </value>
        </values>
      </ddeItem>
      <ddeItem name="VIIA3.QtdNeg" advise="1">
        <values>
          <value>
            <val>30734</val>
          </value>
        </values>
      </ddeItem>
      <ddeItem name="VIIA3.Ult" advise="1">
        <values cols="2">
          <value>
            <val>3</val>
          </value>
          <value>
            <val>17</val>
          </value>
        </values>
      </ddeItem>
      <ddeItem name="VIIA3.Var12M" advise="1">
        <values cols="2">
          <value>
            <val>-71</val>
          </value>
          <value>
            <val>87</val>
          </value>
        </values>
      </ddeItem>
      <ddeItem name="VIIA3.VarAnual" advise="1">
        <values cols="2">
          <value>
            <val>-39</val>
          </value>
          <value>
            <val>61</val>
          </value>
        </values>
      </ddeItem>
      <ddeItem name="VIIA3.VarMes" advise="1">
        <values cols="2">
          <value>
            <val>32</val>
          </value>
          <value>
            <val>8</val>
          </value>
        </values>
      </ddeItem>
      <ddeItem name="VIIA3.VarPer" advise="1">
        <values cols="2">
          <value>
            <val>1</val>
          </value>
          <value>
            <val>92</val>
          </value>
        </values>
      </ddeItem>
      <ddeItem name="VIIA3.VarSem" advise="1">
        <values cols="2">
          <value>
            <val>1</val>
          </value>
          <value>
            <val>92</val>
          </value>
        </values>
      </ddeItem>
      <ddeItem name="VIIA3.Vol" advise="1">
        <values>
          <value>
            <val>209667815</val>
          </value>
        </values>
      </ddeItem>
      <ddeItem name="VIVR3.Desc" advise="1">
        <values>
          <value t="str">
            <val>VIVER ON NM</val>
          </value>
        </values>
      </ddeItem>
      <ddeItem name="VIVR3.Estado" advise="1">
        <values>
          <value t="str">
            <val>Normal</val>
          </value>
        </values>
      </ddeItem>
      <ddeItem name="VIVR3.Exerc" advise="1">
        <values>
          <value>
            <val>0</val>
          </value>
        </values>
      </ddeItem>
      <ddeItem name="VIVR3.Expir" advise="1">
        <values>
          <value t="nil">
            <val>1</val>
          </value>
        </values>
      </ddeItem>
      <ddeItem name="VIVR3.Fech" advise="1">
        <values cols="2">
          <value>
            <val>0</val>
          </value>
          <value>
            <val>61</val>
          </value>
        </values>
      </ddeItem>
      <ddeItem name="VIVR3.Hora" advise="1">
        <values>
          <value>
            <val>0.74633101851851846</val>
          </value>
        </values>
      </ddeItem>
      <ddeItem name="VIVR3.IbovParticip" advise="1">
        <values>
          <value>
            <val>0</val>
          </value>
        </values>
      </ddeItem>
      <ddeItem name="VIVR3.PreTeo" advise="1">
        <values>
          <value>
            <val>0</val>
          </value>
        </values>
      </ddeItem>
      <ddeItem name="VIVR3.QtdNeg" advise="1">
        <values>
          <value>
            <val>960</val>
          </value>
        </values>
      </ddeItem>
      <ddeItem name="VIVR3.Ult" advise="1">
        <values cols="2">
          <value>
            <val>0</val>
          </value>
          <value>
            <val>61</val>
          </value>
        </values>
      </ddeItem>
      <ddeItem name="VIVR3.Var12M" advise="1">
        <values cols="2">
          <value>
            <val>-77</val>
          </value>
          <value>
            <val>4</val>
          </value>
        </values>
      </ddeItem>
      <ddeItem name="VIVR3.VarAnual" advise="1">
        <values cols="2">
          <value>
            <val>-51</val>
          </value>
          <value>
            <val>2</val>
          </value>
        </values>
      </ddeItem>
      <ddeItem name="VIVR3.VarMes" advise="1">
        <values cols="2">
          <value>
            <val>5</val>
          </value>
          <value>
            <val>17</val>
          </value>
        </values>
      </ddeItem>
      <ddeItem name="VIVR3.VarPer" advise="1">
        <values>
          <value>
            <val>0</val>
          </value>
        </values>
      </ddeItem>
      <ddeItem name="VIVR3.VarSem" advise="1">
        <values>
          <value>
            <val>0</val>
          </value>
        </values>
      </ddeItem>
      <ddeItem name="VIVR3.Vol" advise="1">
        <values>
          <value>
            <val>2740511</val>
          </value>
        </values>
      </ddeItem>
      <ddeItem name="VIVT3.Desc" advise="1">
        <values>
          <value t="str">
            <val>TELEF BRASILON</val>
          </value>
        </values>
      </ddeItem>
      <ddeItem name="VIVT3.Estado" advise="1">
        <values>
          <value t="str">
            <val>Normal</val>
          </value>
        </values>
      </ddeItem>
      <ddeItem name="VIVT3.Exerc" advise="1">
        <values>
          <value>
            <val>0</val>
          </value>
        </values>
      </ddeItem>
      <ddeItem name="VIVT3.Expir" advise="1">
        <values>
          <value t="nil">
            <val>1</val>
          </value>
        </values>
      </ddeItem>
      <ddeItem name="VIVT3.Fech" advise="1">
        <values cols="2">
          <value>
            <val>44</val>
          </value>
          <value>
            <val>37</val>
          </value>
        </values>
      </ddeItem>
      <ddeItem name="VIVT3.Hora" advise="1">
        <values>
          <value>
            <val>0.74886574074074075</val>
          </value>
        </values>
      </ddeItem>
      <ddeItem name="VIVT3.IbovParticip" advise="1">
        <values cols="2">
          <value>
            <val>0</val>
          </value>
          <value>
            <val>9146</val>
          </value>
        </values>
      </ddeItem>
      <ddeItem name="VIVT3.PreTeo" advise="1">
        <values>
          <value>
            <val>0</val>
          </value>
        </values>
      </ddeItem>
      <ddeItem name="VIVT3.QtdNeg" advise="1">
        <values>
          <value>
            <val>7211</val>
          </value>
        </values>
      </ddeItem>
      <ddeItem name="VIVT3.Ult" advise="1">
        <values cols="2">
          <value>
            <val>44</val>
          </value>
          <value>
            <val>54</val>
          </value>
        </values>
      </ddeItem>
      <ddeItem name="VIVT3.Var12M" advise="1">
        <values cols="2">
          <value>
            <val>7</val>
          </value>
          <value>
            <val>81</val>
          </value>
        </values>
      </ddeItem>
      <ddeItem name="VIVT3.VarAnual" advise="1">
        <values cols="2">
          <value>
            <val>-4</val>
          </value>
          <value>
            <val>4</val>
          </value>
        </values>
      </ddeItem>
      <ddeItem name="VIVT3.VarMes" advise="1">
        <values cols="2">
          <value>
            <val>0</val>
          </value>
          <value>
            <val>11</val>
          </value>
        </values>
      </ddeItem>
      <ddeItem name="VIVT3.VarPer" advise="1">
        <values cols="2">
          <value>
            <val>0</val>
          </value>
          <value>
            <val>38</val>
          </value>
        </values>
      </ddeItem>
      <ddeItem name="VIVT3.VarSem" advise="1">
        <values cols="2">
          <value>
            <val>0</val>
          </value>
          <value>
            <val>4</val>
          </value>
        </values>
      </ddeItem>
      <ddeItem name="VIVT3.Vol" advise="1">
        <values>
          <value>
            <val>87002456</val>
          </value>
        </values>
      </ddeItem>
      <ddeItem name="WDOFUT.Desc" advise="1">
        <values>
          <value t="str">
            <val>DOLAR MINI:200000771140</val>
          </value>
        </values>
      </ddeItem>
      <ddeItem name="WDOFUT.Estado" advise="1">
        <values>
          <value t="str">
            <val>Normal</val>
          </value>
        </values>
      </ddeItem>
      <ddeItem name="WDOFUT.Exerc" advise="1">
        <values>
          <value>
            <val>0</val>
          </value>
        </values>
      </ddeItem>
      <ddeItem name="WDOFUT.Expir" advise="1">
        <values>
          <value>
            <val>44805</val>
          </value>
        </values>
      </ddeItem>
      <ddeItem name="WDOFUT.Fech" advise="1">
        <values cols="2">
          <value>
            <val>5172</val>
          </value>
          <value>
            <val>5</val>
          </value>
        </values>
      </ddeItem>
      <ddeItem name="WDOFUT.Hora" advise="1">
        <values>
          <value>
            <val>0.74998842592592585</val>
          </value>
        </values>
      </ddeItem>
      <ddeItem name="WDOFUT.IbovParticip" advise="1">
        <values>
          <value>
            <val>0</val>
          </value>
        </values>
      </ddeItem>
      <ddeItem name="WDOFUT.PreTeo" advise="1">
        <values>
          <value>
            <val>0</val>
          </value>
        </values>
      </ddeItem>
      <ddeItem name="WDOFUT.QtdNeg" advise="1">
        <values>
          <value>
            <val>1055258</val>
          </value>
        </values>
      </ddeItem>
      <ddeItem name="WDOFUT.Ult" advise="1">
        <values cols="2">
          <value>
            <val>5172</val>
          </value>
          <value>
            <val>5</val>
          </value>
        </values>
      </ddeItem>
      <ddeItem name="WDOFUT.Var12M" advise="1">
        <values cols="2">
          <value>
            <val>-11</val>
          </value>
          <value>
            <val>89</val>
          </value>
        </values>
      </ddeItem>
      <ddeItem name="WDOFUT.VarAnual" advise="1">
        <values cols="2">
          <value>
            <val>-13</val>
          </value>
          <value>
            <val>4</val>
          </value>
        </values>
      </ddeItem>
      <ddeItem name="WDOFUT.VarMes" advise="1">
        <values cols="2">
          <value>
            <val>0</val>
          </value>
          <value>
            <val>92</val>
          </value>
        </values>
      </ddeItem>
      <ddeItem name="WDOFUT.VarPer" advise="1">
        <values cols="2">
          <value>
            <val>0</val>
          </value>
          <value>
            <val>27</val>
          </value>
        </values>
      </ddeItem>
      <ddeItem name="WDOFUT.VarSem" advise="1">
        <values cols="2">
          <value>
            <val>0</val>
          </value>
          <value>
            <val>27</val>
          </value>
        </values>
      </ddeItem>
      <ddeItem name="WDOFUT.Vol" advise="1">
        <values>
          <value>
            <val>3271359</val>
          </value>
        </values>
      </ddeItem>
      <ddeItem name="WEGE3.Desc" advise="1">
        <values>
          <value t="str">
            <val>WEG ON NM</val>
          </value>
        </values>
      </ddeItem>
      <ddeItem name="WEGE3.Estado" advise="1">
        <values>
          <value t="str">
            <val>Normal</val>
          </value>
        </values>
      </ddeItem>
      <ddeItem name="WEGE3.Exerc" advise="1">
        <values>
          <value>
            <val>0</val>
          </value>
        </values>
      </ddeItem>
      <ddeItem name="WEGE3.Expir" advise="1">
        <values>
          <value t="nil">
            <val>1</val>
          </value>
        </values>
      </ddeItem>
      <ddeItem name="WEGE3.Fech" advise="1">
        <values cols="2">
          <value>
            <val>29</val>
          </value>
          <value>
            <val>85</val>
          </value>
        </values>
      </ddeItem>
      <ddeItem name="WEGE3.Hora" advise="1">
        <values>
          <value>
            <val>0.74984953703703694</val>
          </value>
        </values>
      </ddeItem>
      <ddeItem name="WEGE3.IbovParticip" advise="1">
        <values cols="2">
          <value>
            <val>2</val>
          </value>
          <value>
            <val>2074</val>
          </value>
        </values>
      </ddeItem>
      <ddeItem name="WEGE3.PreTeo" advise="1">
        <values>
          <value>
            <val>0</val>
          </value>
        </values>
      </ddeItem>
      <ddeItem name="WEGE3.QtdNeg" advise="1">
        <values>
          <value>
            <val>17900</val>
          </value>
        </values>
      </ddeItem>
      <ddeItem name="WEGE3.Ult" advise="1">
        <values cols="2">
          <value>
            <val>28</val>
          </value>
          <value>
            <val>9</val>
          </value>
        </values>
      </ddeItem>
      <ddeItem name="WEGE3.Var12M" advise="1">
        <values cols="2">
          <value>
            <val>-18</val>
          </value>
          <value>
            <val>4</val>
          </value>
        </values>
      </ddeItem>
      <ddeItem name="WEGE3.VarAnual" advise="1">
        <values cols="2">
          <value>
            <val>-11</val>
          </value>
          <value>
            <val>7</val>
          </value>
        </values>
      </ddeItem>
      <ddeItem name="WEGE3.VarMes" advise="1">
        <values cols="2">
          <value>
            <val>3</val>
          </value>
          <value>
            <val>6</val>
          </value>
        </values>
      </ddeItem>
      <ddeItem name="WEGE3.VarPer" advise="1">
        <values cols="2">
          <value>
            <val>-3</val>
          </value>
          <value>
            <val>18</val>
          </value>
        </values>
      </ddeItem>
      <ddeItem name="WEGE3.VarSem" advise="1">
        <values cols="2">
          <value>
            <val>-3</val>
          </value>
          <value>
            <val>18</val>
          </value>
        </values>
      </ddeItem>
      <ddeItem name="WEGE3.Vol" advise="1">
        <values>
          <value>
            <val>210307481</val>
          </value>
        </values>
      </ddeItem>
      <ddeItem name="YDUQ3.Desc" advise="1">
        <values>
          <value t="str">
            <val>YDUQS PART ON NM</val>
          </value>
        </values>
      </ddeItem>
      <ddeItem name="YDUQ3.Estado" advise="1">
        <values>
          <value t="str">
            <val>Normal</val>
          </value>
        </values>
      </ddeItem>
      <ddeItem name="YDUQ3.Exerc" advise="1">
        <values>
          <value>
            <val>0</val>
          </value>
        </values>
      </ddeItem>
      <ddeItem name="YDUQ3.Expir" advise="1">
        <values>
          <value t="nil">
            <val>1</val>
          </value>
        </values>
      </ddeItem>
      <ddeItem name="YDUQ3.Fech" advise="1">
        <values cols="2">
          <value>
            <val>12</val>
          </value>
          <value>
            <val>33</val>
          </value>
        </values>
      </ddeItem>
      <ddeItem name="YDUQ3.Hora" advise="1">
        <values>
          <value>
            <val>0.74957175925925934</val>
          </value>
        </values>
      </ddeItem>
      <ddeItem name="YDUQ3.IbovParticip" advise="1">
        <values cols="2">
          <value>
            <val>0</val>
          </value>
          <value>
            <val>1847</val>
          </value>
        </values>
      </ddeItem>
      <ddeItem name="YDUQ3.PreTeo" advise="1">
        <values>
          <value>
            <val>0</val>
          </value>
        </values>
      </ddeItem>
      <ddeItem name="YDUQ3.QtdNeg" advise="1">
        <values>
          <value>
            <val>12717</val>
          </value>
        </values>
      </ddeItem>
      <ddeItem name="YDUQ3.Ult" advise="1">
        <values cols="2">
          <value>
            <val>12</val>
          </value>
          <value>
            <val>18</val>
          </value>
        </values>
      </ddeItem>
      <ddeItem name="YDUQ3.Var12M" advise="1">
        <values cols="2">
          <value>
            <val>-52</val>
          </value>
          <value>
            <val>79</val>
          </value>
        </values>
      </ddeItem>
      <ddeItem name="YDUQ3.VarAnual" advise="1">
        <values cols="2">
          <value>
            <val>-40</val>
          </value>
          <value>
            <val>29</val>
          </value>
        </values>
      </ddeItem>
      <ddeItem name="YDUQ3.VarMes" advise="1">
        <values cols="2">
          <value>
            <val>-8</val>
          </value>
          <value>
            <val>7</val>
          </value>
        </values>
      </ddeItem>
      <ddeItem name="YDUQ3.VarPer" advise="1">
        <values cols="2">
          <value>
            <val>-1</val>
          </value>
          <value>
            <val>21</val>
          </value>
        </values>
      </ddeItem>
      <ddeItem name="YDUQ3.VarSem" advise="1">
        <values cols="2">
          <value>
            <val>-1</val>
          </value>
          <value>
            <val>21</val>
          </value>
        </values>
      </ddeItem>
      <ddeItem name="YDUQ3.Vol" advise="1">
        <values>
          <value>
            <val>45296904</val>
          </value>
        </values>
      </ddeItem>
    </ddeItems>
  </ddeLin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</v>
    <v>8</v>
    <v>0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86F7-F1E8-4AFD-BA39-02F3D6A56CC8}">
  <dimension ref="B2:Z26"/>
  <sheetViews>
    <sheetView tabSelected="1" topLeftCell="D1" workbookViewId="0">
      <selection activeCell="R28" sqref="R28"/>
    </sheetView>
  </sheetViews>
  <sheetFormatPr defaultRowHeight="15" x14ac:dyDescent="0.25"/>
  <cols>
    <col min="9" max="9" width="2.42578125" customWidth="1"/>
    <col min="10" max="10" width="6" bestFit="1" customWidth="1"/>
    <col min="11" max="11" width="7.85546875" style="2" bestFit="1" customWidth="1"/>
    <col min="15" max="15" width="12.85546875" bestFit="1" customWidth="1"/>
    <col min="16" max="16" width="12.140625" bestFit="1" customWidth="1"/>
    <col min="17" max="17" width="0.140625" customWidth="1"/>
    <col min="18" max="18" width="7.28515625" customWidth="1"/>
  </cols>
  <sheetData>
    <row r="2" spans="2:26" x14ac:dyDescent="0.25">
      <c r="D2" s="48" t="s">
        <v>0</v>
      </c>
      <c r="E2" s="48"/>
      <c r="F2" s="48"/>
      <c r="G2" s="48"/>
      <c r="H2" s="48"/>
      <c r="I2" s="48"/>
      <c r="J2" s="48"/>
      <c r="K2" s="49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2:26" ht="15.75" thickBot="1" x14ac:dyDescent="0.3">
      <c r="D3" s="48"/>
      <c r="E3" s="48"/>
      <c r="F3" s="48"/>
      <c r="G3" s="48"/>
      <c r="H3" s="48"/>
      <c r="I3" s="48"/>
      <c r="J3" s="48"/>
      <c r="K3" s="49"/>
      <c r="L3" s="48"/>
      <c r="M3" s="48"/>
      <c r="N3" s="48"/>
      <c r="O3" s="48"/>
      <c r="P3" s="50">
        <v>44795</v>
      </c>
      <c r="Q3" s="48"/>
      <c r="R3" s="48"/>
      <c r="S3" s="48"/>
      <c r="T3" s="51" t="s">
        <v>191</v>
      </c>
      <c r="U3" s="48"/>
      <c r="V3" s="48"/>
      <c r="W3" s="48"/>
      <c r="X3" s="48"/>
      <c r="Y3" s="48"/>
      <c r="Z3" s="48"/>
    </row>
    <row r="4" spans="2:26" ht="15.75" thickBot="1" x14ac:dyDescent="0.3">
      <c r="B4" s="40" t="s">
        <v>21</v>
      </c>
      <c r="C4" s="36" t="s">
        <v>22</v>
      </c>
      <c r="D4" s="52" t="s">
        <v>23</v>
      </c>
      <c r="E4" s="53" t="s">
        <v>24</v>
      </c>
      <c r="F4" s="54" t="s">
        <v>25</v>
      </c>
      <c r="G4" s="53" t="s">
        <v>26</v>
      </c>
      <c r="H4" s="53" t="s">
        <v>195</v>
      </c>
      <c r="I4" s="53"/>
      <c r="J4" s="53" t="s">
        <v>196</v>
      </c>
      <c r="K4" s="53" t="s">
        <v>197</v>
      </c>
      <c r="L4" s="53" t="s">
        <v>38</v>
      </c>
      <c r="M4" s="53" t="s">
        <v>39</v>
      </c>
      <c r="N4" s="53" t="s">
        <v>186</v>
      </c>
      <c r="O4" s="53" t="s">
        <v>40</v>
      </c>
      <c r="P4" s="55" t="s">
        <v>66</v>
      </c>
      <c r="Q4" s="53" t="s">
        <v>188</v>
      </c>
      <c r="R4" s="53" t="s">
        <v>189</v>
      </c>
      <c r="S4" s="53" t="s">
        <v>190</v>
      </c>
      <c r="T4" s="53"/>
      <c r="U4" s="56" t="s">
        <v>192</v>
      </c>
      <c r="V4" s="56"/>
      <c r="W4" s="56" t="s">
        <v>193</v>
      </c>
      <c r="X4" s="56"/>
      <c r="Y4" s="56" t="s">
        <v>194</v>
      </c>
      <c r="Z4" s="57"/>
    </row>
    <row r="5" spans="2:26" x14ac:dyDescent="0.25">
      <c r="B5" s="41">
        <v>44795</v>
      </c>
      <c r="C5" s="37" t="s">
        <v>1</v>
      </c>
      <c r="D5" s="58" t="s">
        <v>2</v>
      </c>
      <c r="E5" s="59" t="s">
        <v>3</v>
      </c>
      <c r="F5" s="60">
        <v>45.78</v>
      </c>
      <c r="G5" s="60">
        <v>0.52</v>
      </c>
      <c r="H5" s="60">
        <v>2.6</v>
      </c>
      <c r="I5" s="60"/>
      <c r="J5" s="60">
        <v>0.17333333333333334</v>
      </c>
      <c r="K5" s="59" t="s">
        <v>198</v>
      </c>
      <c r="L5" s="60">
        <v>41.4</v>
      </c>
      <c r="M5" s="60">
        <v>0.55000000000000004</v>
      </c>
      <c r="N5" s="60">
        <v>46.33</v>
      </c>
      <c r="O5" s="61">
        <v>0.11908212560386477</v>
      </c>
      <c r="P5" s="60" t="s">
        <v>199</v>
      </c>
      <c r="Q5" s="62">
        <v>45.54</v>
      </c>
      <c r="R5" s="62">
        <v>-0.78999999999999915</v>
      </c>
      <c r="S5" s="62">
        <v>4.93</v>
      </c>
      <c r="T5" s="63">
        <v>25</v>
      </c>
      <c r="U5" s="64">
        <v>44.18</v>
      </c>
      <c r="V5" s="65">
        <v>6.7149758454106312E-2</v>
      </c>
      <c r="W5" s="64">
        <v>51.7</v>
      </c>
      <c r="X5" s="66">
        <v>0.24879227053140118</v>
      </c>
      <c r="Y5" s="64">
        <v>44.95</v>
      </c>
      <c r="Z5" s="67">
        <v>8.574879227053156E-2</v>
      </c>
    </row>
    <row r="6" spans="2:26" x14ac:dyDescent="0.25">
      <c r="B6" s="42">
        <v>44795</v>
      </c>
      <c r="C6" s="38" t="s">
        <v>4</v>
      </c>
      <c r="D6" s="68" t="s">
        <v>187</v>
      </c>
      <c r="E6" s="68" t="s">
        <v>3</v>
      </c>
      <c r="F6" s="69">
        <v>29.23</v>
      </c>
      <c r="G6" s="69">
        <v>0.12</v>
      </c>
      <c r="H6" s="69">
        <v>0.6</v>
      </c>
      <c r="I6" s="69"/>
      <c r="J6" s="69">
        <v>0.04</v>
      </c>
      <c r="K6" s="68"/>
      <c r="L6" s="69">
        <v>25.37</v>
      </c>
      <c r="M6" s="69">
        <v>0.12</v>
      </c>
      <c r="N6" s="69">
        <v>29.35</v>
      </c>
      <c r="O6" s="70">
        <v>0.15687820260149787</v>
      </c>
      <c r="P6" s="69" t="s">
        <v>199</v>
      </c>
      <c r="Q6" s="71">
        <v>27.907000000000004</v>
      </c>
      <c r="R6" s="71">
        <v>-1.4429999999999978</v>
      </c>
      <c r="S6" s="71">
        <v>3.9800000000000004</v>
      </c>
      <c r="T6" s="72"/>
      <c r="U6" s="73">
        <v>27.02</v>
      </c>
      <c r="V6" s="74">
        <v>6.5037445802128335E-2</v>
      </c>
      <c r="W6" s="73">
        <v>30.5</v>
      </c>
      <c r="X6" s="75">
        <v>0.20220733149389036</v>
      </c>
      <c r="Y6" s="73">
        <v>27.83</v>
      </c>
      <c r="Z6" s="76">
        <v>9.6964919195900556E-2</v>
      </c>
    </row>
    <row r="7" spans="2:26" x14ac:dyDescent="0.25">
      <c r="B7" s="41">
        <v>44795</v>
      </c>
      <c r="C7" s="37" t="s">
        <v>5</v>
      </c>
      <c r="D7" s="58" t="s">
        <v>6</v>
      </c>
      <c r="E7" s="59" t="s">
        <v>3</v>
      </c>
      <c r="F7" s="60">
        <v>8</v>
      </c>
      <c r="G7" s="60">
        <v>0.37</v>
      </c>
      <c r="H7" s="60">
        <v>1.85</v>
      </c>
      <c r="I7" s="60"/>
      <c r="J7" s="60">
        <v>0.12333333333333334</v>
      </c>
      <c r="K7" s="59" t="s">
        <v>198</v>
      </c>
      <c r="L7" s="60">
        <v>6.8</v>
      </c>
      <c r="M7" s="60">
        <v>0.37</v>
      </c>
      <c r="N7" s="60">
        <v>8.3699999999999992</v>
      </c>
      <c r="O7" s="61">
        <v>0.23088235294117632</v>
      </c>
      <c r="P7" s="60" t="s">
        <v>199</v>
      </c>
      <c r="Q7" s="62">
        <v>7.48</v>
      </c>
      <c r="R7" s="62">
        <v>-0.88999999999999879</v>
      </c>
      <c r="S7" s="62">
        <v>1.5699999999999994</v>
      </c>
      <c r="T7" s="77"/>
      <c r="U7" s="64">
        <v>7.7</v>
      </c>
      <c r="V7" s="65">
        <v>0.13235294117647056</v>
      </c>
      <c r="W7" s="64">
        <v>8.8699999999999992</v>
      </c>
      <c r="X7" s="66">
        <v>0.30441176470588238</v>
      </c>
      <c r="Y7" s="64">
        <v>7.85</v>
      </c>
      <c r="Z7" s="67">
        <v>0.15441176470588225</v>
      </c>
    </row>
    <row r="8" spans="2:26" x14ac:dyDescent="0.25">
      <c r="B8" s="42">
        <v>44795</v>
      </c>
      <c r="C8" s="38" t="s">
        <v>7</v>
      </c>
      <c r="D8" s="68" t="s">
        <v>8</v>
      </c>
      <c r="E8" s="68" t="s">
        <v>3</v>
      </c>
      <c r="F8" s="69">
        <v>13.5</v>
      </c>
      <c r="G8" s="69">
        <v>0.19</v>
      </c>
      <c r="H8" s="69">
        <v>0.95</v>
      </c>
      <c r="I8" s="69"/>
      <c r="J8" s="69">
        <v>6.3333333333333339E-2</v>
      </c>
      <c r="K8" s="68"/>
      <c r="L8" s="69">
        <v>10.26</v>
      </c>
      <c r="M8" s="69">
        <v>0.19</v>
      </c>
      <c r="N8" s="69">
        <v>13.69</v>
      </c>
      <c r="O8" s="70">
        <v>0.334307992202729</v>
      </c>
      <c r="P8" s="69" t="s">
        <v>199</v>
      </c>
      <c r="Q8" s="71">
        <v>11.286000000000001</v>
      </c>
      <c r="R8" s="71">
        <v>-2.4039999999999981</v>
      </c>
      <c r="S8" s="71">
        <v>3.4299999999999997</v>
      </c>
      <c r="T8" s="72"/>
      <c r="U8" s="73">
        <v>11.69</v>
      </c>
      <c r="V8" s="74">
        <v>0.13937621832358671</v>
      </c>
      <c r="W8" s="73">
        <v>14.35</v>
      </c>
      <c r="X8" s="75">
        <v>0.39863547758284601</v>
      </c>
      <c r="Y8" s="73">
        <v>12.13</v>
      </c>
      <c r="Z8" s="76">
        <v>0.18226120857699812</v>
      </c>
    </row>
    <row r="9" spans="2:26" x14ac:dyDescent="0.25">
      <c r="B9" s="41">
        <v>44795</v>
      </c>
      <c r="C9" s="37" t="s">
        <v>9</v>
      </c>
      <c r="D9" s="58" t="s">
        <v>10</v>
      </c>
      <c r="E9" s="59" t="s">
        <v>3</v>
      </c>
      <c r="F9" s="60">
        <v>2.1</v>
      </c>
      <c r="G9" s="60">
        <v>0.22</v>
      </c>
      <c r="H9" s="60">
        <v>1.1000000000000001</v>
      </c>
      <c r="I9" s="60"/>
      <c r="J9" s="60">
        <v>7.3333333333333334E-2</v>
      </c>
      <c r="K9" s="59" t="s">
        <v>198</v>
      </c>
      <c r="L9" s="60">
        <v>2.15</v>
      </c>
      <c r="M9" s="60">
        <v>0.2</v>
      </c>
      <c r="N9" s="60">
        <v>2.3000000000000003</v>
      </c>
      <c r="O9" s="61">
        <v>6.976744186046524E-2</v>
      </c>
      <c r="P9" s="60" t="s">
        <v>199</v>
      </c>
      <c r="Q9" s="62">
        <v>2.3650000000000002</v>
      </c>
      <c r="R9" s="62">
        <v>6.4999999999999947E-2</v>
      </c>
      <c r="S9" s="62">
        <v>0.15000000000000036</v>
      </c>
      <c r="T9" s="77"/>
      <c r="U9" s="64">
        <v>2.23</v>
      </c>
      <c r="V9" s="65">
        <v>3.7209302325581506E-2</v>
      </c>
      <c r="W9" s="64">
        <v>2.4900000000000002</v>
      </c>
      <c r="X9" s="66">
        <v>0.15813953488372112</v>
      </c>
      <c r="Y9" s="64">
        <v>2.4500000000000002</v>
      </c>
      <c r="Z9" s="67">
        <v>0.13953488372093026</v>
      </c>
    </row>
    <row r="10" spans="2:26" x14ac:dyDescent="0.25">
      <c r="B10" s="42">
        <v>44795</v>
      </c>
      <c r="C10" s="38" t="s">
        <v>11</v>
      </c>
      <c r="D10" s="68" t="s">
        <v>12</v>
      </c>
      <c r="E10" s="68" t="s">
        <v>3</v>
      </c>
      <c r="F10" s="69">
        <v>11.5</v>
      </c>
      <c r="G10" s="69">
        <v>0.35</v>
      </c>
      <c r="H10" s="69">
        <v>1.75</v>
      </c>
      <c r="I10" s="69"/>
      <c r="J10" s="69">
        <v>0.11666666666666665</v>
      </c>
      <c r="K10" s="68"/>
      <c r="L10" s="69">
        <v>9.7799999999999994</v>
      </c>
      <c r="M10" s="69">
        <v>0.35</v>
      </c>
      <c r="N10" s="69">
        <v>11.85</v>
      </c>
      <c r="O10" s="70">
        <v>0.21165644171779152</v>
      </c>
      <c r="P10" s="69" t="s">
        <v>199</v>
      </c>
      <c r="Q10" s="71">
        <v>10.758000000000001</v>
      </c>
      <c r="R10" s="71">
        <v>-1.0919999999999987</v>
      </c>
      <c r="S10" s="71">
        <v>2.0700000000000003</v>
      </c>
      <c r="T10" s="72"/>
      <c r="U10" s="73">
        <v>11.12</v>
      </c>
      <c r="V10" s="74">
        <v>0.13701431492842531</v>
      </c>
      <c r="W10" s="73">
        <v>14.78</v>
      </c>
      <c r="X10" s="75">
        <v>0.5112474437627812</v>
      </c>
      <c r="Y10" s="73">
        <v>11.63</v>
      </c>
      <c r="Z10" s="76">
        <v>0.18916155419222913</v>
      </c>
    </row>
    <row r="11" spans="2:26" x14ac:dyDescent="0.25">
      <c r="B11" s="41">
        <v>44795</v>
      </c>
      <c r="C11" s="37" t="s">
        <v>13</v>
      </c>
      <c r="D11" s="58" t="s">
        <v>14</v>
      </c>
      <c r="E11" s="59" t="s">
        <v>3</v>
      </c>
      <c r="F11" s="60">
        <v>32.020000000000003</v>
      </c>
      <c r="G11" s="60">
        <v>1.94</v>
      </c>
      <c r="H11" s="60">
        <v>9.6999999999999993</v>
      </c>
      <c r="I11" s="60"/>
      <c r="J11" s="60">
        <v>0.64666666666666661</v>
      </c>
      <c r="K11" s="59" t="s">
        <v>198</v>
      </c>
      <c r="L11" s="60">
        <v>32.36</v>
      </c>
      <c r="M11" s="60">
        <v>2</v>
      </c>
      <c r="N11" s="60">
        <v>34.020000000000003</v>
      </c>
      <c r="O11" s="61">
        <v>5.1297898640296768E-2</v>
      </c>
      <c r="P11" s="60" t="s">
        <v>199</v>
      </c>
      <c r="Q11" s="62">
        <v>35.596000000000004</v>
      </c>
      <c r="R11" s="62">
        <v>1.5760000000000005</v>
      </c>
      <c r="S11" s="62">
        <v>1.6600000000000037</v>
      </c>
      <c r="T11" s="77"/>
      <c r="U11" s="64">
        <v>33.659999999999997</v>
      </c>
      <c r="V11" s="65">
        <v>4.0173053152039451E-2</v>
      </c>
      <c r="W11" s="64">
        <v>40.14</v>
      </c>
      <c r="X11" s="66">
        <v>0.24042027194066762</v>
      </c>
      <c r="Y11" s="64">
        <v>34.380000000000003</v>
      </c>
      <c r="Z11" s="67">
        <v>6.2422744128553864E-2</v>
      </c>
    </row>
    <row r="12" spans="2:26" x14ac:dyDescent="0.25">
      <c r="B12" s="42">
        <v>44795</v>
      </c>
      <c r="C12" s="38" t="s">
        <v>15</v>
      </c>
      <c r="D12" s="58" t="s">
        <v>16</v>
      </c>
      <c r="E12" s="68" t="s">
        <v>3</v>
      </c>
      <c r="F12" s="69">
        <v>13.24</v>
      </c>
      <c r="G12" s="69">
        <v>0.12</v>
      </c>
      <c r="H12" s="69">
        <v>0.6</v>
      </c>
      <c r="I12" s="69"/>
      <c r="J12" s="69">
        <v>0.04</v>
      </c>
      <c r="K12" s="68" t="s">
        <v>198</v>
      </c>
      <c r="L12" s="69">
        <v>9.67</v>
      </c>
      <c r="M12" s="69">
        <v>0.12</v>
      </c>
      <c r="N12" s="69">
        <v>13.36</v>
      </c>
      <c r="O12" s="70">
        <v>0.38159255429162342</v>
      </c>
      <c r="P12" s="69" t="s">
        <v>199</v>
      </c>
      <c r="Q12" s="71">
        <v>10.637</v>
      </c>
      <c r="R12" s="71">
        <v>-2.722999999999999</v>
      </c>
      <c r="S12" s="71">
        <v>3.6899999999999995</v>
      </c>
      <c r="T12" s="72"/>
      <c r="U12" s="73">
        <v>10.59</v>
      </c>
      <c r="V12" s="74">
        <v>9.5139607032057816E-2</v>
      </c>
      <c r="W12" s="73">
        <v>12.36</v>
      </c>
      <c r="X12" s="75">
        <v>0.27817993795243012</v>
      </c>
      <c r="Y12" s="73">
        <v>12.29</v>
      </c>
      <c r="Z12" s="76">
        <v>0.27094105480868658</v>
      </c>
    </row>
    <row r="13" spans="2:26" x14ac:dyDescent="0.25">
      <c r="B13" s="41">
        <v>44795</v>
      </c>
      <c r="C13" s="37" t="s">
        <v>17</v>
      </c>
      <c r="D13" s="58" t="s">
        <v>18</v>
      </c>
      <c r="E13" s="59" t="s">
        <v>3</v>
      </c>
      <c r="F13" s="60">
        <v>28.5</v>
      </c>
      <c r="G13" s="60">
        <v>0.1</v>
      </c>
      <c r="H13" s="60">
        <v>0.5</v>
      </c>
      <c r="I13" s="60"/>
      <c r="J13" s="60">
        <v>3.3333333333333333E-2</v>
      </c>
      <c r="K13" s="59" t="s">
        <v>198</v>
      </c>
      <c r="L13" s="60">
        <v>23.27</v>
      </c>
      <c r="M13" s="60">
        <v>0.1</v>
      </c>
      <c r="N13" s="60">
        <v>28.6</v>
      </c>
      <c r="O13" s="61">
        <v>0.22905027932960897</v>
      </c>
      <c r="P13" s="60" t="s">
        <v>199</v>
      </c>
      <c r="Q13" s="62">
        <v>25.597000000000001</v>
      </c>
      <c r="R13" s="62">
        <v>-3.0030000000000001</v>
      </c>
      <c r="S13" s="62">
        <v>5.3300000000000018</v>
      </c>
      <c r="T13" s="77"/>
      <c r="U13" s="64">
        <v>25.87</v>
      </c>
      <c r="V13" s="65">
        <v>0.1117318435754191</v>
      </c>
      <c r="W13" s="64">
        <v>29.54</v>
      </c>
      <c r="X13" s="66">
        <v>0.26944563816072198</v>
      </c>
      <c r="Y13" s="64">
        <v>25.66</v>
      </c>
      <c r="Z13" s="67">
        <v>0.10270734851740437</v>
      </c>
    </row>
    <row r="14" spans="2:26" ht="15.75" thickBot="1" x14ac:dyDescent="0.3">
      <c r="B14" s="42">
        <v>44795</v>
      </c>
      <c r="C14" s="38" t="s">
        <v>19</v>
      </c>
      <c r="D14" s="68" t="s">
        <v>20</v>
      </c>
      <c r="E14" s="68" t="s">
        <v>3</v>
      </c>
      <c r="F14" s="69">
        <v>31.92</v>
      </c>
      <c r="G14" s="69">
        <v>0.6</v>
      </c>
      <c r="H14" s="69">
        <v>3</v>
      </c>
      <c r="I14" s="69"/>
      <c r="J14" s="69">
        <v>0.19999999999999998</v>
      </c>
      <c r="K14" s="68"/>
      <c r="L14" s="69">
        <v>30.21</v>
      </c>
      <c r="M14" s="69">
        <v>0.6</v>
      </c>
      <c r="N14" s="69">
        <v>32.520000000000003</v>
      </c>
      <c r="O14" s="70">
        <v>7.6464746772591852E-2</v>
      </c>
      <c r="P14" s="69" t="s">
        <v>199</v>
      </c>
      <c r="Q14" s="71">
        <v>33.231000000000002</v>
      </c>
      <c r="R14" s="71">
        <v>0.71099999999999852</v>
      </c>
      <c r="S14" s="71">
        <v>2.3100000000000023</v>
      </c>
      <c r="T14" s="72"/>
      <c r="U14" s="73">
        <v>31.48</v>
      </c>
      <c r="V14" s="74">
        <v>4.203905991393575E-2</v>
      </c>
      <c r="W14" s="73">
        <v>36.68</v>
      </c>
      <c r="X14" s="75">
        <v>0.21416749420721604</v>
      </c>
      <c r="Y14" s="73">
        <v>32.090000000000003</v>
      </c>
      <c r="Z14" s="76">
        <v>6.2231049321416876E-2</v>
      </c>
    </row>
    <row r="15" spans="2:26" ht="15.75" thickBot="1" x14ac:dyDescent="0.3">
      <c r="B15" s="45" t="s">
        <v>21</v>
      </c>
      <c r="C15" s="46" t="s">
        <v>22</v>
      </c>
      <c r="D15" s="53" t="s">
        <v>23</v>
      </c>
      <c r="E15" s="53" t="s">
        <v>24</v>
      </c>
      <c r="F15" s="78" t="s">
        <v>25</v>
      </c>
      <c r="G15" s="79" t="s">
        <v>26</v>
      </c>
      <c r="H15" s="53" t="s">
        <v>195</v>
      </c>
      <c r="I15" s="53"/>
      <c r="J15" s="53" t="s">
        <v>196</v>
      </c>
      <c r="K15" s="53"/>
      <c r="L15" s="79" t="s">
        <v>38</v>
      </c>
      <c r="M15" s="79" t="s">
        <v>39</v>
      </c>
      <c r="N15" s="79" t="s">
        <v>186</v>
      </c>
      <c r="O15" s="53" t="s">
        <v>40</v>
      </c>
      <c r="P15" s="79" t="s">
        <v>200</v>
      </c>
      <c r="Q15" s="53" t="s">
        <v>188</v>
      </c>
      <c r="R15" s="53" t="s">
        <v>189</v>
      </c>
      <c r="S15" s="53" t="s">
        <v>190</v>
      </c>
      <c r="T15" s="55"/>
      <c r="U15" s="56" t="s">
        <v>192</v>
      </c>
      <c r="V15" s="56"/>
      <c r="W15" s="56" t="s">
        <v>193</v>
      </c>
      <c r="X15" s="56"/>
      <c r="Y15" s="56" t="s">
        <v>194</v>
      </c>
      <c r="Z15" s="57"/>
    </row>
    <row r="16" spans="2:26" x14ac:dyDescent="0.25">
      <c r="B16" s="41">
        <v>44795</v>
      </c>
      <c r="C16" s="37" t="s">
        <v>1</v>
      </c>
      <c r="D16" s="59" t="s">
        <v>27</v>
      </c>
      <c r="E16" s="59" t="s">
        <v>28</v>
      </c>
      <c r="F16" s="60">
        <v>38.28</v>
      </c>
      <c r="G16" s="60">
        <v>0.6</v>
      </c>
      <c r="H16" s="60">
        <v>3</v>
      </c>
      <c r="I16" s="60"/>
      <c r="J16" s="60">
        <v>0.19999999999999998</v>
      </c>
      <c r="K16" s="59"/>
      <c r="L16" s="60">
        <v>41.4</v>
      </c>
      <c r="M16" s="60">
        <v>0.57999999999999996</v>
      </c>
      <c r="N16" s="60">
        <v>37.68</v>
      </c>
      <c r="O16" s="61">
        <v>-8.9855072463768115E-2</v>
      </c>
      <c r="P16" s="60" t="s">
        <v>199</v>
      </c>
      <c r="Q16" s="62">
        <v>45.54</v>
      </c>
      <c r="R16" s="62">
        <v>7.8599999999999994</v>
      </c>
      <c r="S16" s="62">
        <v>-3.7199999999999989</v>
      </c>
      <c r="T16" s="77"/>
      <c r="U16" s="64">
        <v>38.08</v>
      </c>
      <c r="V16" s="65">
        <v>-8.0193236714975802E-2</v>
      </c>
      <c r="W16" s="64">
        <v>36.61</v>
      </c>
      <c r="X16" s="66">
        <v>-0.11570048309178738</v>
      </c>
      <c r="Y16" s="64">
        <v>33.1</v>
      </c>
      <c r="Z16" s="67">
        <v>-0.2004830917874395</v>
      </c>
    </row>
    <row r="17" spans="2:26" x14ac:dyDescent="0.25">
      <c r="B17" s="42">
        <v>44795</v>
      </c>
      <c r="C17" s="38" t="s">
        <v>4</v>
      </c>
      <c r="D17" s="68" t="s">
        <v>29</v>
      </c>
      <c r="E17" s="68" t="s">
        <v>28</v>
      </c>
      <c r="F17" s="69">
        <v>23.73</v>
      </c>
      <c r="G17" s="69">
        <v>0.44</v>
      </c>
      <c r="H17" s="69">
        <v>2.2000000000000002</v>
      </c>
      <c r="I17" s="69"/>
      <c r="J17" s="69">
        <v>0.14666666666666667</v>
      </c>
      <c r="K17" s="68"/>
      <c r="L17" s="69">
        <v>25.37</v>
      </c>
      <c r="M17" s="69">
        <v>0.4</v>
      </c>
      <c r="N17" s="69">
        <v>23.29</v>
      </c>
      <c r="O17" s="70">
        <v>-8.1986598344501505E-2</v>
      </c>
      <c r="P17" s="69" t="s">
        <v>199</v>
      </c>
      <c r="Q17" s="71">
        <v>27.907000000000004</v>
      </c>
      <c r="R17" s="71">
        <v>4.6170000000000044</v>
      </c>
      <c r="S17" s="71">
        <v>-2.0800000000000018</v>
      </c>
      <c r="T17" s="72"/>
      <c r="U17" s="73">
        <v>34.950000000000003</v>
      </c>
      <c r="V17" s="74">
        <v>0.37761135199053997</v>
      </c>
      <c r="W17" s="73">
        <v>23.51</v>
      </c>
      <c r="X17" s="75">
        <v>-7.3314938904217586E-2</v>
      </c>
      <c r="Y17" s="73">
        <v>20.81</v>
      </c>
      <c r="Z17" s="76">
        <v>-0.17973985021679162</v>
      </c>
    </row>
    <row r="18" spans="2:26" x14ac:dyDescent="0.25">
      <c r="B18" s="41">
        <v>44795</v>
      </c>
      <c r="C18" s="37" t="s">
        <v>5</v>
      </c>
      <c r="D18" s="59" t="s">
        <v>30</v>
      </c>
      <c r="E18" s="59" t="s">
        <v>28</v>
      </c>
      <c r="F18" s="60">
        <v>6.6</v>
      </c>
      <c r="G18" s="60">
        <v>0.31</v>
      </c>
      <c r="H18" s="60">
        <v>1.55</v>
      </c>
      <c r="I18" s="60"/>
      <c r="J18" s="60">
        <v>0.10333333333333333</v>
      </c>
      <c r="K18" s="59"/>
      <c r="L18" s="60">
        <v>6.8</v>
      </c>
      <c r="M18" s="60">
        <v>0.31</v>
      </c>
      <c r="N18" s="60">
        <v>6.29</v>
      </c>
      <c r="O18" s="61">
        <v>-7.4999999999999956E-2</v>
      </c>
      <c r="P18" s="60" t="s">
        <v>199</v>
      </c>
      <c r="Q18" s="62">
        <v>7.48</v>
      </c>
      <c r="R18" s="62">
        <v>1.1900000000000004</v>
      </c>
      <c r="S18" s="62">
        <v>-0.50999999999999979</v>
      </c>
      <c r="T18" s="77"/>
      <c r="U18" s="64">
        <v>6.61</v>
      </c>
      <c r="V18" s="65">
        <v>-2.7941176470588136E-2</v>
      </c>
      <c r="W18" s="64">
        <v>5.95</v>
      </c>
      <c r="X18" s="66">
        <v>-0.125</v>
      </c>
      <c r="Y18" s="64">
        <v>6.23</v>
      </c>
      <c r="Z18" s="67">
        <v>-8.382352941176463E-2</v>
      </c>
    </row>
    <row r="19" spans="2:26" x14ac:dyDescent="0.25">
      <c r="B19" s="42">
        <v>44795</v>
      </c>
      <c r="C19" s="38" t="s">
        <v>7</v>
      </c>
      <c r="D19" s="80" t="s">
        <v>31</v>
      </c>
      <c r="E19" s="68" t="s">
        <v>28</v>
      </c>
      <c r="F19" s="69">
        <v>9.1999999999999993</v>
      </c>
      <c r="G19" s="69">
        <v>0.37</v>
      </c>
      <c r="H19" s="69">
        <v>1.85</v>
      </c>
      <c r="I19" s="69"/>
      <c r="J19" s="69">
        <v>0.12333333333333334</v>
      </c>
      <c r="K19" s="68" t="s">
        <v>198</v>
      </c>
      <c r="L19" s="69">
        <v>10.26</v>
      </c>
      <c r="M19" s="69">
        <v>0.37</v>
      </c>
      <c r="N19" s="69">
        <v>8.83</v>
      </c>
      <c r="O19" s="70">
        <v>-0.13937621832358671</v>
      </c>
      <c r="P19" s="69" t="s">
        <v>199</v>
      </c>
      <c r="Q19" s="71">
        <v>11.286000000000001</v>
      </c>
      <c r="R19" s="71">
        <v>2.4560000000000013</v>
      </c>
      <c r="S19" s="71">
        <v>-1.4299999999999997</v>
      </c>
      <c r="T19" s="72"/>
      <c r="U19" s="73">
        <v>9.0299999999999994</v>
      </c>
      <c r="V19" s="74">
        <v>-0.11988304093567259</v>
      </c>
      <c r="W19" s="73">
        <v>7.4</v>
      </c>
      <c r="X19" s="75">
        <v>-0.27875243664717342</v>
      </c>
      <c r="Y19" s="73">
        <v>7.52</v>
      </c>
      <c r="Z19" s="76">
        <v>-0.26705653021442499</v>
      </c>
    </row>
    <row r="20" spans="2:26" x14ac:dyDescent="0.25">
      <c r="B20" s="41">
        <v>44795</v>
      </c>
      <c r="C20" s="37" t="s">
        <v>9</v>
      </c>
      <c r="D20" s="59" t="s">
        <v>32</v>
      </c>
      <c r="E20" s="59" t="s">
        <v>28</v>
      </c>
      <c r="F20" s="60">
        <v>2.1</v>
      </c>
      <c r="G20" s="60">
        <v>0.35</v>
      </c>
      <c r="H20" s="60">
        <v>1.75</v>
      </c>
      <c r="I20" s="60"/>
      <c r="J20" s="60">
        <v>0.11666666666666665</v>
      </c>
      <c r="K20" s="59"/>
      <c r="L20" s="60">
        <v>2.15</v>
      </c>
      <c r="M20" s="60">
        <v>0.35</v>
      </c>
      <c r="N20" s="60">
        <v>1.75</v>
      </c>
      <c r="O20" s="61">
        <v>-0.18604651162790697</v>
      </c>
      <c r="P20" s="60" t="s">
        <v>199</v>
      </c>
      <c r="Q20" s="62">
        <v>2.3650000000000002</v>
      </c>
      <c r="R20" s="62">
        <v>0.61500000000000021</v>
      </c>
      <c r="S20" s="62">
        <v>-0.39999999999999991</v>
      </c>
      <c r="T20" s="77"/>
      <c r="U20" s="64">
        <v>2.09</v>
      </c>
      <c r="V20" s="65">
        <v>-2.7906976744186074E-2</v>
      </c>
      <c r="W20" s="64">
        <v>2.48</v>
      </c>
      <c r="X20" s="66">
        <v>0.15348837209302335</v>
      </c>
      <c r="Y20" s="64">
        <v>1.81</v>
      </c>
      <c r="Z20" s="67">
        <v>-0.1581395348837209</v>
      </c>
    </row>
    <row r="21" spans="2:26" x14ac:dyDescent="0.25">
      <c r="B21" s="42">
        <v>44795</v>
      </c>
      <c r="C21" s="38" t="s">
        <v>11</v>
      </c>
      <c r="D21" s="80" t="s">
        <v>33</v>
      </c>
      <c r="E21" s="68" t="s">
        <v>28</v>
      </c>
      <c r="F21" s="69">
        <v>9</v>
      </c>
      <c r="G21" s="69">
        <v>0.5</v>
      </c>
      <c r="H21" s="69">
        <v>2.5</v>
      </c>
      <c r="I21" s="69"/>
      <c r="J21" s="69">
        <v>0.16666666666666666</v>
      </c>
      <c r="K21" s="68" t="s">
        <v>198</v>
      </c>
      <c r="L21" s="69">
        <v>9.7799999999999994</v>
      </c>
      <c r="M21" s="69">
        <v>0.47</v>
      </c>
      <c r="N21" s="69">
        <v>8.5</v>
      </c>
      <c r="O21" s="70">
        <v>-0.13087934560327197</v>
      </c>
      <c r="P21" s="69" t="s">
        <v>199</v>
      </c>
      <c r="Q21" s="71">
        <v>10.758000000000001</v>
      </c>
      <c r="R21" s="71">
        <v>2.2580000000000009</v>
      </c>
      <c r="S21" s="71">
        <v>-1.2799999999999994</v>
      </c>
      <c r="T21" s="72"/>
      <c r="U21" s="73">
        <v>8.9</v>
      </c>
      <c r="V21" s="74">
        <v>-8.9979550102249339E-2</v>
      </c>
      <c r="W21" s="73">
        <v>7.47</v>
      </c>
      <c r="X21" s="75">
        <v>-0.23619631901840488</v>
      </c>
      <c r="Y21" s="73">
        <v>5.8</v>
      </c>
      <c r="Z21" s="76">
        <v>-0.40695296523517377</v>
      </c>
    </row>
    <row r="22" spans="2:26" x14ac:dyDescent="0.25">
      <c r="B22" s="41">
        <v>44795</v>
      </c>
      <c r="C22" s="39" t="s">
        <v>34</v>
      </c>
      <c r="D22" s="80" t="s">
        <v>35</v>
      </c>
      <c r="E22" s="59" t="s">
        <v>28</v>
      </c>
      <c r="F22" s="60">
        <v>31.26</v>
      </c>
      <c r="G22" s="60">
        <v>0.41</v>
      </c>
      <c r="H22" s="60">
        <v>2.0499999999999998</v>
      </c>
      <c r="I22" s="60"/>
      <c r="J22" s="60">
        <v>0.13666666666666666</v>
      </c>
      <c r="K22" s="59" t="s">
        <v>198</v>
      </c>
      <c r="L22" s="60">
        <v>35.89</v>
      </c>
      <c r="M22" s="60">
        <v>0.41</v>
      </c>
      <c r="N22" s="60">
        <v>30.85</v>
      </c>
      <c r="O22" s="61">
        <v>-0.14042908888269712</v>
      </c>
      <c r="P22" s="60" t="s">
        <v>199</v>
      </c>
      <c r="Q22" s="62">
        <v>39.479000000000006</v>
      </c>
      <c r="R22" s="62">
        <v>8.6290000000000049</v>
      </c>
      <c r="S22" s="62">
        <v>-5.0399999999999991</v>
      </c>
      <c r="T22" s="77"/>
      <c r="U22" s="64">
        <v>32.229999999999997</v>
      </c>
      <c r="V22" s="65">
        <v>-0.10197826692672063</v>
      </c>
      <c r="W22" s="64">
        <v>29</v>
      </c>
      <c r="X22" s="66">
        <v>-0.19197548063527448</v>
      </c>
      <c r="Y22" s="64">
        <v>26.9</v>
      </c>
      <c r="Z22" s="67">
        <v>-0.250487601003065</v>
      </c>
    </row>
    <row r="23" spans="2:26" x14ac:dyDescent="0.25">
      <c r="B23" s="42">
        <v>44795</v>
      </c>
      <c r="C23" s="38" t="s">
        <v>15</v>
      </c>
      <c r="D23" s="68" t="s">
        <v>185</v>
      </c>
      <c r="E23" s="68" t="s">
        <v>28</v>
      </c>
      <c r="F23" s="69">
        <v>9.09</v>
      </c>
      <c r="G23" s="69">
        <v>0.52</v>
      </c>
      <c r="H23" s="69">
        <v>2.6</v>
      </c>
      <c r="I23" s="69"/>
      <c r="J23" s="69">
        <v>0.17333333333333334</v>
      </c>
      <c r="K23" s="68"/>
      <c r="L23" s="69">
        <v>9.67</v>
      </c>
      <c r="M23" s="69">
        <v>0.52</v>
      </c>
      <c r="N23" s="69">
        <v>8.57</v>
      </c>
      <c r="O23" s="70">
        <v>-0.11375387797311265</v>
      </c>
      <c r="P23" s="69" t="s">
        <v>199</v>
      </c>
      <c r="Q23" s="71">
        <v>10.637</v>
      </c>
      <c r="R23" s="71">
        <v>2.0670000000000002</v>
      </c>
      <c r="S23" s="71">
        <v>-1.0999999999999996</v>
      </c>
      <c r="T23" s="72"/>
      <c r="U23" s="73">
        <v>8.83</v>
      </c>
      <c r="V23" s="74">
        <v>-8.6866597724922445E-2</v>
      </c>
      <c r="W23" s="73">
        <v>7.75</v>
      </c>
      <c r="X23" s="75">
        <v>-0.19855222337125134</v>
      </c>
      <c r="Y23" s="73">
        <v>8.84</v>
      </c>
      <c r="Z23" s="76">
        <v>-8.583247156153051E-2</v>
      </c>
    </row>
    <row r="24" spans="2:26" x14ac:dyDescent="0.25">
      <c r="B24" s="41">
        <v>44795</v>
      </c>
      <c r="C24" s="37" t="s">
        <v>17</v>
      </c>
      <c r="D24" s="59" t="s">
        <v>36</v>
      </c>
      <c r="E24" s="59" t="s">
        <v>28</v>
      </c>
      <c r="F24" s="60">
        <v>20.5</v>
      </c>
      <c r="G24" s="60">
        <v>0.32</v>
      </c>
      <c r="H24" s="60">
        <v>1.6</v>
      </c>
      <c r="I24" s="60"/>
      <c r="J24" s="60">
        <v>0.10666666666666667</v>
      </c>
      <c r="K24" s="59"/>
      <c r="L24" s="60">
        <v>23.27</v>
      </c>
      <c r="M24" s="60">
        <v>0.32</v>
      </c>
      <c r="N24" s="60">
        <v>20.18</v>
      </c>
      <c r="O24" s="61">
        <v>-0.13278899871078642</v>
      </c>
      <c r="P24" s="60" t="s">
        <v>199</v>
      </c>
      <c r="Q24" s="62">
        <v>25.597000000000001</v>
      </c>
      <c r="R24" s="62">
        <v>5.4170000000000016</v>
      </c>
      <c r="S24" s="62">
        <v>-3.09</v>
      </c>
      <c r="T24" s="77"/>
      <c r="U24" s="64">
        <v>22.18</v>
      </c>
      <c r="V24" s="65">
        <v>-4.6841426729694935E-2</v>
      </c>
      <c r="W24" s="64">
        <v>20.02</v>
      </c>
      <c r="X24" s="66">
        <v>-0.13966480446927376</v>
      </c>
      <c r="Y24" s="64">
        <v>22.79</v>
      </c>
      <c r="Z24" s="67">
        <v>-2.0627417275462023E-2</v>
      </c>
    </row>
    <row r="25" spans="2:26" ht="15.75" thickBot="1" x14ac:dyDescent="0.3">
      <c r="B25" s="43">
        <v>44795</v>
      </c>
      <c r="C25" s="44" t="s">
        <v>19</v>
      </c>
      <c r="D25" s="81" t="s">
        <v>37</v>
      </c>
      <c r="E25" s="82" t="s">
        <v>28</v>
      </c>
      <c r="F25" s="83">
        <v>27.42</v>
      </c>
      <c r="G25" s="83">
        <v>0.5</v>
      </c>
      <c r="H25" s="83">
        <v>2.5</v>
      </c>
      <c r="I25" s="83"/>
      <c r="J25" s="83">
        <v>0.16666666666666666</v>
      </c>
      <c r="K25" s="84" t="s">
        <v>198</v>
      </c>
      <c r="L25" s="83">
        <v>30.21</v>
      </c>
      <c r="M25" s="83">
        <v>0.5</v>
      </c>
      <c r="N25" s="83">
        <v>26.92</v>
      </c>
      <c r="O25" s="85">
        <v>-0.10890433631247931</v>
      </c>
      <c r="P25" s="83" t="s">
        <v>199</v>
      </c>
      <c r="Q25" s="86">
        <v>33.231000000000002</v>
      </c>
      <c r="R25" s="86">
        <v>6.3109999999999999</v>
      </c>
      <c r="S25" s="86">
        <v>-3.2899999999999991</v>
      </c>
      <c r="T25" s="84"/>
      <c r="U25" s="87">
        <v>28.3</v>
      </c>
      <c r="V25" s="88">
        <v>-6.3224097980801086E-2</v>
      </c>
      <c r="W25" s="87">
        <v>26.16</v>
      </c>
      <c r="X25" s="89">
        <v>-0.13406156901688182</v>
      </c>
      <c r="Y25" s="87">
        <v>24.31</v>
      </c>
      <c r="Z25" s="90">
        <v>-0.19529956967891438</v>
      </c>
    </row>
    <row r="26" spans="2:26" x14ac:dyDescent="0.25">
      <c r="D26" s="48"/>
      <c r="E26" s="48"/>
      <c r="F26" s="48"/>
      <c r="G26" s="48"/>
      <c r="H26" s="48"/>
      <c r="I26" s="48"/>
      <c r="J26" s="48"/>
      <c r="K26" s="49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</sheetData>
  <sheetProtection sheet="1" objects="1" scenarios="1"/>
  <mergeCells count="6">
    <mergeCell ref="U4:V4"/>
    <mergeCell ref="W4:X4"/>
    <mergeCell ref="Y4:Z4"/>
    <mergeCell ref="U15:V15"/>
    <mergeCell ref="W15:X15"/>
    <mergeCell ref="Y15:Z1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068D-EAA6-4099-BD2C-FAF08D7D998C}">
  <dimension ref="B1:Z24"/>
  <sheetViews>
    <sheetView workbookViewId="0">
      <selection activeCell="B24" sqref="B24:Z24"/>
    </sheetView>
  </sheetViews>
  <sheetFormatPr defaultRowHeight="15" x14ac:dyDescent="0.25"/>
  <cols>
    <col min="3" max="3" width="7.7109375" bestFit="1" customWidth="1"/>
    <col min="4" max="4" width="12.28515625" bestFit="1" customWidth="1"/>
    <col min="5" max="5" width="5.140625" bestFit="1" customWidth="1"/>
    <col min="6" max="6" width="8.5703125" bestFit="1" customWidth="1"/>
    <col min="7" max="7" width="7.7109375" bestFit="1" customWidth="1"/>
    <col min="8" max="8" width="8.7109375" bestFit="1" customWidth="1"/>
    <col min="9" max="9" width="6.28515625" hidden="1" customWidth="1"/>
    <col min="12" max="12" width="11" bestFit="1" customWidth="1"/>
    <col min="13" max="13" width="9.7109375" bestFit="1" customWidth="1"/>
    <col min="14" max="14" width="7.28515625" bestFit="1" customWidth="1"/>
    <col min="15" max="16" width="12.85546875" bestFit="1" customWidth="1"/>
  </cols>
  <sheetData>
    <row r="1" spans="2:26" x14ac:dyDescent="0.25">
      <c r="D1" t="s">
        <v>0</v>
      </c>
    </row>
    <row r="2" spans="2:26" x14ac:dyDescent="0.25">
      <c r="P2" s="14">
        <f ca="1">TODAY()</f>
        <v>44795</v>
      </c>
      <c r="T2" s="15" t="s">
        <v>191</v>
      </c>
    </row>
    <row r="3" spans="2:26" x14ac:dyDescent="0.25">
      <c r="B3" s="26" t="s">
        <v>21</v>
      </c>
      <c r="C3" s="26" t="s">
        <v>22</v>
      </c>
      <c r="D3" s="26" t="s">
        <v>23</v>
      </c>
      <c r="E3" s="26" t="s">
        <v>24</v>
      </c>
      <c r="F3" s="34" t="s">
        <v>25</v>
      </c>
      <c r="G3" s="26" t="s">
        <v>26</v>
      </c>
      <c r="H3" s="26" t="s">
        <v>195</v>
      </c>
      <c r="I3" s="26"/>
      <c r="J3" s="26" t="s">
        <v>196</v>
      </c>
      <c r="K3" s="28" t="s">
        <v>197</v>
      </c>
      <c r="L3" s="30" t="s">
        <v>38</v>
      </c>
      <c r="M3" s="30" t="s">
        <v>39</v>
      </c>
      <c r="N3" s="30" t="s">
        <v>186</v>
      </c>
      <c r="O3" s="30" t="s">
        <v>40</v>
      </c>
      <c r="P3" s="28"/>
      <c r="Q3" s="30" t="s">
        <v>188</v>
      </c>
      <c r="R3" s="30" t="s">
        <v>189</v>
      </c>
      <c r="S3" s="30" t="s">
        <v>190</v>
      </c>
      <c r="T3" s="30"/>
      <c r="U3" s="47" t="s">
        <v>192</v>
      </c>
      <c r="V3" s="47"/>
      <c r="W3" s="47" t="s">
        <v>193</v>
      </c>
      <c r="X3" s="47"/>
      <c r="Y3" s="47" t="s">
        <v>194</v>
      </c>
      <c r="Z3" s="47"/>
    </row>
    <row r="4" spans="2:26" x14ac:dyDescent="0.25">
      <c r="B4" s="11">
        <v>44795</v>
      </c>
      <c r="C4" s="10" t="s">
        <v>1</v>
      </c>
      <c r="D4" s="26" t="s">
        <v>2</v>
      </c>
      <c r="E4" s="10" t="s">
        <v>3</v>
      </c>
      <c r="F4" s="8">
        <f>RTD("tryd.rtdserver",,"COT",D4,"Exerc")</f>
        <v>0</v>
      </c>
      <c r="G4" s="12">
        <v>0.52</v>
      </c>
      <c r="H4" s="12">
        <f>5*G4</f>
        <v>2.6</v>
      </c>
      <c r="I4" s="12"/>
      <c r="J4" s="12">
        <f>G4/3</f>
        <v>0.17333333333333334</v>
      </c>
      <c r="K4" t="s">
        <v>198</v>
      </c>
      <c r="L4" s="8">
        <f>RTD("tryd.rtdserver",,"COT",C4,"ult")</f>
        <v>41.4</v>
      </c>
      <c r="M4" s="8">
        <f>RTD("tryd.rtdserver",,"COT",D4,"ult")</f>
        <v>0.55000000000000004</v>
      </c>
      <c r="N4" s="8">
        <f>F4+M4</f>
        <v>0.55000000000000004</v>
      </c>
      <c r="O4" s="9">
        <f>(N4/L4)-1</f>
        <v>-0.98671497584541068</v>
      </c>
      <c r="P4" s="8" t="str">
        <f>RTD("tryd.rtdserver",,"COT",D4,"Expir")</f>
        <v/>
      </c>
      <c r="Q4" s="13">
        <f>L4*1.1</f>
        <v>45.54</v>
      </c>
      <c r="R4" s="13">
        <f>Q4-N4</f>
        <v>44.99</v>
      </c>
      <c r="S4" s="13">
        <f>N4-L4</f>
        <v>-40.85</v>
      </c>
      <c r="T4" s="16" t="e">
        <f ca="1">P4-P2</f>
        <v>#VALUE!</v>
      </c>
      <c r="U4" s="5">
        <v>44.18</v>
      </c>
      <c r="V4" s="7">
        <f>U4/L4-1</f>
        <v>6.7149758454106312E-2</v>
      </c>
      <c r="W4" s="5">
        <v>51.7</v>
      </c>
      <c r="X4" s="6">
        <f>W4/L4-1</f>
        <v>0.24879227053140118</v>
      </c>
      <c r="Y4" s="5">
        <v>44.95</v>
      </c>
      <c r="Z4" s="6">
        <f>Y4/L4-1</f>
        <v>8.574879227053156E-2</v>
      </c>
    </row>
    <row r="5" spans="2:26" x14ac:dyDescent="0.25">
      <c r="B5" s="19">
        <v>44795</v>
      </c>
      <c r="C5" s="17" t="s">
        <v>4</v>
      </c>
      <c r="D5" s="17" t="s">
        <v>187</v>
      </c>
      <c r="E5" s="17" t="s">
        <v>3</v>
      </c>
      <c r="F5" s="20">
        <f>RTD("tryd.rtdserver",,"COT",D5,"Exerc")</f>
        <v>0</v>
      </c>
      <c r="G5" s="21">
        <v>0.12</v>
      </c>
      <c r="H5" s="21">
        <f t="shared" ref="H5:H13" si="0">5*G5</f>
        <v>0.6</v>
      </c>
      <c r="I5" s="21"/>
      <c r="J5" s="21">
        <f t="shared" ref="J5:J13" si="1">G5/3</f>
        <v>0.04</v>
      </c>
      <c r="K5" s="18"/>
      <c r="L5" s="20">
        <f>RTD("tryd.rtdserver",,"COT",C5,"ult")</f>
        <v>25.37</v>
      </c>
      <c r="M5" s="20">
        <f>RTD("tryd.rtdserver",,"COT",D5,"ult")</f>
        <v>0.12</v>
      </c>
      <c r="N5" s="20">
        <f t="shared" ref="N5:N13" si="2">F5+M5</f>
        <v>0.12</v>
      </c>
      <c r="O5" s="22">
        <f t="shared" ref="O5:O24" si="3">(N5/L5)-1</f>
        <v>-0.99527000394166343</v>
      </c>
      <c r="P5" s="20" t="str">
        <f>RTD("tryd.rtdserver",,"COT",D5,"Expir")</f>
        <v/>
      </c>
      <c r="Q5" s="23">
        <f t="shared" ref="Q5:Q24" si="4">L5*1.1</f>
        <v>27.907000000000004</v>
      </c>
      <c r="R5" s="23">
        <f t="shared" ref="R5:R24" si="5">Q5-N5</f>
        <v>27.787000000000003</v>
      </c>
      <c r="S5" s="23">
        <f t="shared" ref="S5:S24" si="6">N5-L5</f>
        <v>-25.25</v>
      </c>
      <c r="T5" s="18"/>
      <c r="U5" s="31">
        <v>27.02</v>
      </c>
      <c r="V5" s="24">
        <f t="shared" ref="V5:V24" si="7">U5/L5-1</f>
        <v>6.5037445802128335E-2</v>
      </c>
      <c r="W5" s="31">
        <v>30.5</v>
      </c>
      <c r="X5" s="25">
        <f t="shared" ref="X5:X24" si="8">W5/L5-1</f>
        <v>0.20220733149389036</v>
      </c>
      <c r="Y5" s="31">
        <v>27.83</v>
      </c>
      <c r="Z5" s="25">
        <f t="shared" ref="Z5:Z24" si="9">Y5/L5-1</f>
        <v>9.6964919195900556E-2</v>
      </c>
    </row>
    <row r="6" spans="2:26" x14ac:dyDescent="0.25">
      <c r="B6" s="11">
        <v>44795</v>
      </c>
      <c r="C6" s="10" t="s">
        <v>5</v>
      </c>
      <c r="D6" s="26" t="s">
        <v>6</v>
      </c>
      <c r="E6" s="10" t="s">
        <v>3</v>
      </c>
      <c r="F6" s="8">
        <f>RTD("tryd.rtdserver",,"COT",D6,"Exerc")</f>
        <v>0</v>
      </c>
      <c r="G6" s="12">
        <v>0.37</v>
      </c>
      <c r="H6" s="12">
        <f t="shared" si="0"/>
        <v>1.85</v>
      </c>
      <c r="I6" s="12"/>
      <c r="J6" s="12">
        <f t="shared" si="1"/>
        <v>0.12333333333333334</v>
      </c>
      <c r="K6" t="s">
        <v>198</v>
      </c>
      <c r="L6" s="8">
        <f>RTD("tryd.rtdserver",,"COT",C6,"ult")</f>
        <v>6.8</v>
      </c>
      <c r="M6" s="8">
        <f>RTD("tryd.rtdserver",,"COT",D6,"ult")</f>
        <v>0.37</v>
      </c>
      <c r="N6" s="8">
        <f t="shared" si="2"/>
        <v>0.37</v>
      </c>
      <c r="O6" s="9">
        <f t="shared" si="3"/>
        <v>-0.94558823529411762</v>
      </c>
      <c r="P6" s="8" t="str">
        <f>RTD("tryd.rtdserver",,"COT",D6,"Expir")</f>
        <v/>
      </c>
      <c r="Q6" s="13">
        <f t="shared" si="4"/>
        <v>7.48</v>
      </c>
      <c r="R6" s="13">
        <f t="shared" si="5"/>
        <v>7.11</v>
      </c>
      <c r="S6" s="13">
        <f t="shared" si="6"/>
        <v>-6.43</v>
      </c>
      <c r="U6" s="5">
        <v>7.7</v>
      </c>
      <c r="V6" s="7">
        <f t="shared" si="7"/>
        <v>0.13235294117647056</v>
      </c>
      <c r="W6" s="5">
        <v>8.8699999999999992</v>
      </c>
      <c r="X6" s="6">
        <f t="shared" si="8"/>
        <v>0.30441176470588238</v>
      </c>
      <c r="Y6" s="5">
        <v>7.85</v>
      </c>
      <c r="Z6" s="6">
        <f t="shared" si="9"/>
        <v>0.15441176470588225</v>
      </c>
    </row>
    <row r="7" spans="2:26" x14ac:dyDescent="0.25">
      <c r="B7" s="19">
        <v>44795</v>
      </c>
      <c r="C7" s="17" t="s">
        <v>7</v>
      </c>
      <c r="D7" s="17" t="s">
        <v>8</v>
      </c>
      <c r="E7" s="17" t="s">
        <v>3</v>
      </c>
      <c r="F7" s="20">
        <f>RTD("tryd.rtdserver",,"COT",D7,"Exerc")</f>
        <v>0</v>
      </c>
      <c r="G7" s="21">
        <v>0.19</v>
      </c>
      <c r="H7" s="21">
        <f t="shared" si="0"/>
        <v>0.95</v>
      </c>
      <c r="I7" s="21"/>
      <c r="J7" s="21">
        <f t="shared" si="1"/>
        <v>6.3333333333333339E-2</v>
      </c>
      <c r="K7" s="18"/>
      <c r="L7" s="20">
        <f>RTD("tryd.rtdserver",,"COT",C7,"ult")</f>
        <v>10.26</v>
      </c>
      <c r="M7" s="20">
        <f>RTD("tryd.rtdserver",,"COT",D7,"ult")</f>
        <v>0.19</v>
      </c>
      <c r="N7" s="20">
        <f t="shared" si="2"/>
        <v>0.19</v>
      </c>
      <c r="O7" s="22">
        <f t="shared" si="3"/>
        <v>-0.98148148148148151</v>
      </c>
      <c r="P7" s="20" t="str">
        <f>RTD("tryd.rtdserver",,"COT",D7,"Expir")</f>
        <v/>
      </c>
      <c r="Q7" s="23">
        <f t="shared" si="4"/>
        <v>11.286000000000001</v>
      </c>
      <c r="R7" s="23">
        <f t="shared" si="5"/>
        <v>11.096000000000002</v>
      </c>
      <c r="S7" s="23">
        <f t="shared" si="6"/>
        <v>-10.07</v>
      </c>
      <c r="T7" s="18"/>
      <c r="U7" s="31">
        <v>11.69</v>
      </c>
      <c r="V7" s="24">
        <f t="shared" si="7"/>
        <v>0.13937621832358671</v>
      </c>
      <c r="W7" s="31">
        <v>14.35</v>
      </c>
      <c r="X7" s="25">
        <f t="shared" si="8"/>
        <v>0.39863547758284601</v>
      </c>
      <c r="Y7" s="31">
        <v>12.13</v>
      </c>
      <c r="Z7" s="25">
        <f t="shared" si="9"/>
        <v>0.18226120857699812</v>
      </c>
    </row>
    <row r="8" spans="2:26" x14ac:dyDescent="0.25">
      <c r="B8" s="11">
        <v>44795</v>
      </c>
      <c r="C8" s="10" t="s">
        <v>9</v>
      </c>
      <c r="D8" s="26" t="s">
        <v>10</v>
      </c>
      <c r="E8" s="10" t="s">
        <v>3</v>
      </c>
      <c r="F8" s="8">
        <f>RTD("tryd.rtdserver",,"COT",D8,"Exerc")</f>
        <v>0</v>
      </c>
      <c r="G8" s="12">
        <v>0.22</v>
      </c>
      <c r="H8" s="12">
        <f t="shared" si="0"/>
        <v>1.1000000000000001</v>
      </c>
      <c r="I8" s="12"/>
      <c r="J8" s="12">
        <f t="shared" si="1"/>
        <v>7.3333333333333334E-2</v>
      </c>
      <c r="K8" t="s">
        <v>198</v>
      </c>
      <c r="L8" s="8">
        <f>RTD("tryd.rtdserver",,"COT",C8,"ult")</f>
        <v>2.15</v>
      </c>
      <c r="M8" s="8">
        <f>RTD("tryd.rtdserver",,"COT",D8,"ult")</f>
        <v>0.2</v>
      </c>
      <c r="N8" s="8">
        <f t="shared" si="2"/>
        <v>0.2</v>
      </c>
      <c r="O8" s="9">
        <f t="shared" si="3"/>
        <v>-0.90697674418604646</v>
      </c>
      <c r="P8" s="8" t="str">
        <f>RTD("tryd.rtdserver",,"COT",D8,"Expir")</f>
        <v/>
      </c>
      <c r="Q8" s="13">
        <f t="shared" si="4"/>
        <v>2.3650000000000002</v>
      </c>
      <c r="R8" s="13">
        <f t="shared" si="5"/>
        <v>2.165</v>
      </c>
      <c r="S8" s="13">
        <f t="shared" si="6"/>
        <v>-1.95</v>
      </c>
      <c r="U8" s="5">
        <v>2.23</v>
      </c>
      <c r="V8" s="7">
        <f t="shared" si="7"/>
        <v>3.7209302325581506E-2</v>
      </c>
      <c r="W8" s="5">
        <v>2.4900000000000002</v>
      </c>
      <c r="X8" s="6">
        <f t="shared" si="8"/>
        <v>0.15813953488372112</v>
      </c>
      <c r="Y8" s="5">
        <v>2.4500000000000002</v>
      </c>
      <c r="Z8" s="6">
        <f t="shared" si="9"/>
        <v>0.13953488372093026</v>
      </c>
    </row>
    <row r="9" spans="2:26" x14ac:dyDescent="0.25">
      <c r="B9" s="19">
        <v>44795</v>
      </c>
      <c r="C9" s="17" t="s">
        <v>11</v>
      </c>
      <c r="D9" s="17" t="s">
        <v>12</v>
      </c>
      <c r="E9" s="17" t="s">
        <v>3</v>
      </c>
      <c r="F9" s="20">
        <f>RTD("tryd.rtdserver",,"COT",D9,"Exerc")</f>
        <v>0</v>
      </c>
      <c r="G9" s="21">
        <v>0.35</v>
      </c>
      <c r="H9" s="21">
        <f t="shared" si="0"/>
        <v>1.75</v>
      </c>
      <c r="I9" s="21"/>
      <c r="J9" s="21">
        <f t="shared" si="1"/>
        <v>0.11666666666666665</v>
      </c>
      <c r="K9" s="18"/>
      <c r="L9" s="20">
        <f>RTD("tryd.rtdserver",,"COT",C9,"ult")</f>
        <v>9.7799999999999994</v>
      </c>
      <c r="M9" s="20">
        <f>RTD("tryd.rtdserver",,"COT",D9,"ult")</f>
        <v>0.35</v>
      </c>
      <c r="N9" s="20">
        <f t="shared" si="2"/>
        <v>0.35</v>
      </c>
      <c r="O9" s="22">
        <f t="shared" si="3"/>
        <v>-0.96421267893660534</v>
      </c>
      <c r="P9" s="20" t="str">
        <f>RTD("tryd.rtdserver",,"COT",D9,"Expir")</f>
        <v/>
      </c>
      <c r="Q9" s="23">
        <f t="shared" si="4"/>
        <v>10.758000000000001</v>
      </c>
      <c r="R9" s="23">
        <f t="shared" si="5"/>
        <v>10.408000000000001</v>
      </c>
      <c r="S9" s="23">
        <f t="shared" si="6"/>
        <v>-9.43</v>
      </c>
      <c r="T9" s="18"/>
      <c r="U9" s="31">
        <v>11.12</v>
      </c>
      <c r="V9" s="24">
        <f t="shared" si="7"/>
        <v>0.13701431492842531</v>
      </c>
      <c r="W9" s="31">
        <v>14.78</v>
      </c>
      <c r="X9" s="25">
        <f t="shared" si="8"/>
        <v>0.5112474437627812</v>
      </c>
      <c r="Y9" s="31">
        <v>11.63</v>
      </c>
      <c r="Z9" s="25">
        <f t="shared" si="9"/>
        <v>0.18916155419222913</v>
      </c>
    </row>
    <row r="10" spans="2:26" x14ac:dyDescent="0.25">
      <c r="B10" s="11">
        <v>44795</v>
      </c>
      <c r="C10" s="10" t="s">
        <v>13</v>
      </c>
      <c r="D10" s="26" t="s">
        <v>14</v>
      </c>
      <c r="E10" s="10" t="s">
        <v>3</v>
      </c>
      <c r="F10" s="8">
        <f>RTD("tryd.rtdserver",,"COT",D10,"Exerc")</f>
        <v>0</v>
      </c>
      <c r="G10" s="12">
        <v>1.94</v>
      </c>
      <c r="H10" s="12">
        <f t="shared" si="0"/>
        <v>9.6999999999999993</v>
      </c>
      <c r="I10" s="12"/>
      <c r="J10" s="12">
        <f t="shared" si="1"/>
        <v>0.64666666666666661</v>
      </c>
      <c r="K10" t="s">
        <v>198</v>
      </c>
      <c r="L10" s="8">
        <f>RTD("tryd.rtdserver",,"COT",C10,"ult")</f>
        <v>32.36</v>
      </c>
      <c r="M10" s="8">
        <f>RTD("tryd.rtdserver",,"COT",D10,"ult")</f>
        <v>2</v>
      </c>
      <c r="N10" s="8">
        <f t="shared" si="2"/>
        <v>2</v>
      </c>
      <c r="O10" s="9">
        <f t="shared" si="3"/>
        <v>-0.93819530284301611</v>
      </c>
      <c r="P10" s="8" t="str">
        <f>RTD("tryd.rtdserver",,"COT",D10,"Expir")</f>
        <v/>
      </c>
      <c r="Q10" s="13">
        <f t="shared" si="4"/>
        <v>35.596000000000004</v>
      </c>
      <c r="R10" s="13">
        <f t="shared" si="5"/>
        <v>33.596000000000004</v>
      </c>
      <c r="S10" s="13">
        <f t="shared" si="6"/>
        <v>-30.36</v>
      </c>
      <c r="U10" s="5">
        <v>33.659999999999997</v>
      </c>
      <c r="V10" s="7">
        <f t="shared" si="7"/>
        <v>4.0173053152039451E-2</v>
      </c>
      <c r="W10" s="5">
        <v>40.14</v>
      </c>
      <c r="X10" s="6">
        <f t="shared" si="8"/>
        <v>0.24042027194066762</v>
      </c>
      <c r="Y10" s="5">
        <v>34.380000000000003</v>
      </c>
      <c r="Z10" s="6">
        <f t="shared" si="9"/>
        <v>6.2422744128553864E-2</v>
      </c>
    </row>
    <row r="11" spans="2:26" x14ac:dyDescent="0.25">
      <c r="B11" s="19">
        <v>44795</v>
      </c>
      <c r="C11" s="17" t="s">
        <v>15</v>
      </c>
      <c r="D11" s="26" t="s">
        <v>16</v>
      </c>
      <c r="E11" s="17" t="s">
        <v>3</v>
      </c>
      <c r="F11" s="20">
        <f>RTD("tryd.rtdserver",,"COT",D11,"Exerc")</f>
        <v>0</v>
      </c>
      <c r="G11" s="21">
        <v>0.12</v>
      </c>
      <c r="H11" s="21">
        <f t="shared" si="0"/>
        <v>0.6</v>
      </c>
      <c r="I11" s="21"/>
      <c r="J11" s="21">
        <f t="shared" si="1"/>
        <v>0.04</v>
      </c>
      <c r="K11" s="18" t="s">
        <v>198</v>
      </c>
      <c r="L11" s="20">
        <f>RTD("tryd.rtdserver",,"COT",C11,"ult")</f>
        <v>9.67</v>
      </c>
      <c r="M11" s="20">
        <f>RTD("tryd.rtdserver",,"COT",D11,"ult")</f>
        <v>0.12</v>
      </c>
      <c r="N11" s="20">
        <f t="shared" si="2"/>
        <v>0.12</v>
      </c>
      <c r="O11" s="22">
        <f t="shared" si="3"/>
        <v>-0.98759048603929678</v>
      </c>
      <c r="P11" s="20" t="str">
        <f>RTD("tryd.rtdserver",,"COT",D11,"Expir")</f>
        <v/>
      </c>
      <c r="Q11" s="23">
        <f t="shared" si="4"/>
        <v>10.637</v>
      </c>
      <c r="R11" s="23">
        <f t="shared" si="5"/>
        <v>10.517000000000001</v>
      </c>
      <c r="S11" s="23">
        <f t="shared" si="6"/>
        <v>-9.5500000000000007</v>
      </c>
      <c r="T11" s="18"/>
      <c r="U11" s="31">
        <v>10.59</v>
      </c>
      <c r="V11" s="24">
        <f t="shared" si="7"/>
        <v>9.5139607032057816E-2</v>
      </c>
      <c r="W11" s="31">
        <v>12.36</v>
      </c>
      <c r="X11" s="25">
        <f t="shared" si="8"/>
        <v>0.27817993795243012</v>
      </c>
      <c r="Y11" s="31">
        <v>12.29</v>
      </c>
      <c r="Z11" s="25">
        <f t="shared" si="9"/>
        <v>0.27094105480868658</v>
      </c>
    </row>
    <row r="12" spans="2:26" x14ac:dyDescent="0.25">
      <c r="B12" s="11">
        <v>44795</v>
      </c>
      <c r="C12" s="10" t="s">
        <v>17</v>
      </c>
      <c r="D12" s="26" t="s">
        <v>18</v>
      </c>
      <c r="E12" s="10" t="s">
        <v>3</v>
      </c>
      <c r="F12" s="8">
        <f>RTD("tryd.rtdserver",,"COT",D12,"Exerc")</f>
        <v>0</v>
      </c>
      <c r="G12" s="12">
        <v>0.1</v>
      </c>
      <c r="H12" s="12">
        <f t="shared" si="0"/>
        <v>0.5</v>
      </c>
      <c r="I12" s="12"/>
      <c r="J12" s="12">
        <f t="shared" si="1"/>
        <v>3.3333333333333333E-2</v>
      </c>
      <c r="K12" t="s">
        <v>198</v>
      </c>
      <c r="L12" s="8">
        <f>RTD("tryd.rtdserver",,"COT",C12,"ult")</f>
        <v>23.27</v>
      </c>
      <c r="M12" s="8">
        <f>RTD("tryd.rtdserver",,"COT",D12,"ult")</f>
        <v>0.1</v>
      </c>
      <c r="N12" s="8">
        <f t="shared" si="2"/>
        <v>0.1</v>
      </c>
      <c r="O12" s="9">
        <f t="shared" si="3"/>
        <v>-0.99570262140094545</v>
      </c>
      <c r="P12" s="8" t="str">
        <f>RTD("tryd.rtdserver",,"COT",D12,"Expir")</f>
        <v/>
      </c>
      <c r="Q12" s="13">
        <f t="shared" si="4"/>
        <v>25.597000000000001</v>
      </c>
      <c r="R12" s="13">
        <f t="shared" si="5"/>
        <v>25.497</v>
      </c>
      <c r="S12" s="13">
        <f t="shared" si="6"/>
        <v>-23.169999999999998</v>
      </c>
      <c r="U12" s="5">
        <v>25.87</v>
      </c>
      <c r="V12" s="7">
        <f t="shared" si="7"/>
        <v>0.1117318435754191</v>
      </c>
      <c r="W12" s="5">
        <v>29.54</v>
      </c>
      <c r="X12" s="6">
        <f t="shared" si="8"/>
        <v>0.26944563816072198</v>
      </c>
      <c r="Y12" s="5">
        <v>25.66</v>
      </c>
      <c r="Z12" s="6">
        <f t="shared" si="9"/>
        <v>0.10270734851740437</v>
      </c>
    </row>
    <row r="13" spans="2:26" x14ac:dyDescent="0.25">
      <c r="B13" s="19">
        <v>44795</v>
      </c>
      <c r="C13" s="17" t="s">
        <v>19</v>
      </c>
      <c r="D13" s="17" t="s">
        <v>20</v>
      </c>
      <c r="E13" s="17" t="s">
        <v>3</v>
      </c>
      <c r="F13" s="20">
        <f>RTD("tryd.rtdserver",,"COT",D13,"Exerc")</f>
        <v>0</v>
      </c>
      <c r="G13" s="21">
        <v>0.6</v>
      </c>
      <c r="H13" s="21">
        <f t="shared" si="0"/>
        <v>3</v>
      </c>
      <c r="I13" s="21"/>
      <c r="J13" s="21">
        <f t="shared" si="1"/>
        <v>0.19999999999999998</v>
      </c>
      <c r="K13" s="18"/>
      <c r="L13" s="20">
        <f>RTD("tryd.rtdserver",,"COT",C13,"ult")</f>
        <v>30.21</v>
      </c>
      <c r="M13" s="20">
        <f>RTD("tryd.rtdserver",,"COT",D13,"ult")</f>
        <v>0.6</v>
      </c>
      <c r="N13" s="20">
        <f t="shared" si="2"/>
        <v>0.6</v>
      </c>
      <c r="O13" s="22">
        <f t="shared" si="3"/>
        <v>-0.9801390268123138</v>
      </c>
      <c r="P13" s="20" t="str">
        <f>RTD("tryd.rtdserver",,"COT",D13,"Expir")</f>
        <v/>
      </c>
      <c r="Q13" s="23">
        <f t="shared" si="4"/>
        <v>33.231000000000002</v>
      </c>
      <c r="R13" s="23">
        <f t="shared" si="5"/>
        <v>32.631</v>
      </c>
      <c r="S13" s="23">
        <f t="shared" si="6"/>
        <v>-29.61</v>
      </c>
      <c r="T13" s="18"/>
      <c r="U13" s="31">
        <v>31.48</v>
      </c>
      <c r="V13" s="24">
        <f t="shared" si="7"/>
        <v>4.203905991393575E-2</v>
      </c>
      <c r="W13" s="31">
        <v>36.68</v>
      </c>
      <c r="X13" s="25">
        <f t="shared" si="8"/>
        <v>0.21416749420721604</v>
      </c>
      <c r="Y13" s="31">
        <v>32.090000000000003</v>
      </c>
      <c r="Z13" s="25">
        <f t="shared" si="9"/>
        <v>6.2231049321416876E-2</v>
      </c>
    </row>
    <row r="14" spans="2:26" x14ac:dyDescent="0.25">
      <c r="B14" s="26" t="s">
        <v>21</v>
      </c>
      <c r="C14" s="26" t="s">
        <v>22</v>
      </c>
      <c r="D14" s="26" t="s">
        <v>23</v>
      </c>
      <c r="E14" s="26" t="s">
        <v>24</v>
      </c>
      <c r="F14" s="35" t="s">
        <v>25</v>
      </c>
      <c r="G14" s="27" t="s">
        <v>26</v>
      </c>
      <c r="H14" s="26" t="s">
        <v>195</v>
      </c>
      <c r="I14" s="26"/>
      <c r="J14" s="26" t="s">
        <v>196</v>
      </c>
      <c r="K14" s="28"/>
      <c r="L14" s="29" t="s">
        <v>38</v>
      </c>
      <c r="M14" s="29" t="s">
        <v>39</v>
      </c>
      <c r="N14" s="29" t="s">
        <v>186</v>
      </c>
      <c r="O14" s="30" t="s">
        <v>40</v>
      </c>
      <c r="P14" s="29" t="str">
        <f>RTD("tryd.rtdserver",,"COT",D14,"Expir")</f>
        <v/>
      </c>
      <c r="Q14" s="30" t="s">
        <v>188</v>
      </c>
      <c r="R14" s="30" t="s">
        <v>189</v>
      </c>
      <c r="S14" s="30" t="s">
        <v>190</v>
      </c>
      <c r="T14" s="28"/>
      <c r="U14" s="47" t="s">
        <v>192</v>
      </c>
      <c r="V14" s="47"/>
      <c r="W14" s="47" t="s">
        <v>193</v>
      </c>
      <c r="X14" s="47"/>
      <c r="Y14" s="47" t="s">
        <v>194</v>
      </c>
      <c r="Z14" s="47"/>
    </row>
    <row r="15" spans="2:26" x14ac:dyDescent="0.25">
      <c r="B15" s="11">
        <v>44795</v>
      </c>
      <c r="C15" s="10" t="s">
        <v>1</v>
      </c>
      <c r="D15" s="10" t="s">
        <v>27</v>
      </c>
      <c r="E15" s="10" t="s">
        <v>28</v>
      </c>
      <c r="F15" s="12">
        <f>RTD("tryd.rtdserver",,"COT",D15,"Exerc")</f>
        <v>0</v>
      </c>
      <c r="G15" s="12">
        <v>0.6</v>
      </c>
      <c r="H15" s="12">
        <f>G15*5</f>
        <v>3</v>
      </c>
      <c r="I15" s="12"/>
      <c r="J15" s="12">
        <f>G15/3</f>
        <v>0.19999999999999998</v>
      </c>
      <c r="L15" s="8">
        <f>RTD("tryd.rtdserver",,"COT",C15,"ult")</f>
        <v>41.4</v>
      </c>
      <c r="M15" s="8">
        <f>RTD("tryd.rtdserver",,"COT",D15,"ult")</f>
        <v>0</v>
      </c>
      <c r="N15" s="8">
        <f>F15-G15</f>
        <v>-0.6</v>
      </c>
      <c r="O15" s="9">
        <f t="shared" si="3"/>
        <v>-1.0144927536231885</v>
      </c>
      <c r="P15" s="8" t="str">
        <f>RTD("tryd.rtdserver",,"COT",D15,"Expir")</f>
        <v/>
      </c>
      <c r="Q15" s="13">
        <f t="shared" si="4"/>
        <v>45.54</v>
      </c>
      <c r="R15" s="13">
        <f t="shared" si="5"/>
        <v>46.14</v>
      </c>
      <c r="S15" s="13">
        <f t="shared" si="6"/>
        <v>-42</v>
      </c>
      <c r="U15" s="5">
        <v>38.08</v>
      </c>
      <c r="V15" s="7">
        <f t="shared" si="7"/>
        <v>-8.0193236714975802E-2</v>
      </c>
      <c r="W15" s="5">
        <v>36.61</v>
      </c>
      <c r="X15" s="6">
        <f t="shared" si="8"/>
        <v>-0.11570048309178738</v>
      </c>
      <c r="Y15" s="5">
        <v>33.1</v>
      </c>
      <c r="Z15" s="6">
        <f t="shared" si="9"/>
        <v>-0.2004830917874395</v>
      </c>
    </row>
    <row r="16" spans="2:26" x14ac:dyDescent="0.25">
      <c r="B16" s="19">
        <v>44795</v>
      </c>
      <c r="C16" s="17" t="s">
        <v>4</v>
      </c>
      <c r="D16" s="17" t="s">
        <v>29</v>
      </c>
      <c r="E16" s="17" t="s">
        <v>28</v>
      </c>
      <c r="F16" s="21">
        <f>RTD("tryd.rtdserver",,"COT",D16,"Exerc")</f>
        <v>0</v>
      </c>
      <c r="G16" s="21">
        <v>0.44</v>
      </c>
      <c r="H16" s="21">
        <f t="shared" ref="H16:H24" si="10">G16*5</f>
        <v>2.2000000000000002</v>
      </c>
      <c r="I16" s="21"/>
      <c r="J16" s="21">
        <f t="shared" ref="J16:J24" si="11">G16/3</f>
        <v>0.14666666666666667</v>
      </c>
      <c r="K16" s="18"/>
      <c r="L16" s="20">
        <f>RTD("tryd.rtdserver",,"COT",C16,"ult")</f>
        <v>25.37</v>
      </c>
      <c r="M16" s="20">
        <f>RTD("tryd.rtdserver",,"COT",D16,"ult")</f>
        <v>0.4</v>
      </c>
      <c r="N16" s="20">
        <f t="shared" ref="N16:N24" si="12">F16-G16</f>
        <v>-0.44</v>
      </c>
      <c r="O16" s="22">
        <f t="shared" si="3"/>
        <v>-1.0173433188805676</v>
      </c>
      <c r="P16" s="20" t="str">
        <f>RTD("tryd.rtdserver",,"COT",D16,"Expir")</f>
        <v/>
      </c>
      <c r="Q16" s="23">
        <f t="shared" si="4"/>
        <v>27.907000000000004</v>
      </c>
      <c r="R16" s="23">
        <f t="shared" si="5"/>
        <v>28.347000000000005</v>
      </c>
      <c r="S16" s="23">
        <f t="shared" si="6"/>
        <v>-25.810000000000002</v>
      </c>
      <c r="T16" s="18"/>
      <c r="U16" s="31">
        <v>34.950000000000003</v>
      </c>
      <c r="V16" s="24">
        <f t="shared" si="7"/>
        <v>0.37761135199053997</v>
      </c>
      <c r="W16" s="31">
        <v>23.51</v>
      </c>
      <c r="X16" s="25">
        <f t="shared" si="8"/>
        <v>-7.3314938904217586E-2</v>
      </c>
      <c r="Y16" s="31">
        <v>20.81</v>
      </c>
      <c r="Z16" s="25">
        <f t="shared" si="9"/>
        <v>-0.17973985021679162</v>
      </c>
    </row>
    <row r="17" spans="2:26" x14ac:dyDescent="0.25">
      <c r="B17" s="11">
        <v>44795</v>
      </c>
      <c r="C17" s="10" t="s">
        <v>5</v>
      </c>
      <c r="D17" s="10" t="s">
        <v>30</v>
      </c>
      <c r="E17" s="10" t="s">
        <v>28</v>
      </c>
      <c r="F17" s="12">
        <f>RTD("tryd.rtdserver",,"COT",D17,"Exerc")</f>
        <v>0</v>
      </c>
      <c r="G17" s="12">
        <v>0.31</v>
      </c>
      <c r="H17" s="12">
        <f t="shared" si="10"/>
        <v>1.55</v>
      </c>
      <c r="I17" s="12"/>
      <c r="J17" s="12">
        <f t="shared" si="11"/>
        <v>0.10333333333333333</v>
      </c>
      <c r="L17" s="8">
        <f>RTD("tryd.rtdserver",,"COT",C17,"ult")</f>
        <v>6.8</v>
      </c>
      <c r="M17" s="8">
        <f>RTD("tryd.rtdserver",,"COT",D17,"ult")</f>
        <v>0.31</v>
      </c>
      <c r="N17" s="8">
        <f t="shared" si="12"/>
        <v>-0.31</v>
      </c>
      <c r="O17" s="9">
        <f t="shared" si="3"/>
        <v>-1.0455882352941177</v>
      </c>
      <c r="P17" s="8" t="str">
        <f>RTD("tryd.rtdserver",,"COT",D17,"Expir")</f>
        <v/>
      </c>
      <c r="Q17" s="13">
        <f t="shared" si="4"/>
        <v>7.48</v>
      </c>
      <c r="R17" s="13">
        <f t="shared" si="5"/>
        <v>7.79</v>
      </c>
      <c r="S17" s="13">
        <f t="shared" si="6"/>
        <v>-7.1099999999999994</v>
      </c>
      <c r="U17" s="5">
        <v>6.61</v>
      </c>
      <c r="V17" s="7">
        <f t="shared" si="7"/>
        <v>-2.7941176470588136E-2</v>
      </c>
      <c r="W17" s="5">
        <v>5.95</v>
      </c>
      <c r="X17" s="6">
        <f t="shared" si="8"/>
        <v>-0.125</v>
      </c>
      <c r="Y17" s="5">
        <v>6.23</v>
      </c>
      <c r="Z17" s="6">
        <f t="shared" si="9"/>
        <v>-8.382352941176463E-2</v>
      </c>
    </row>
    <row r="18" spans="2:26" x14ac:dyDescent="0.25">
      <c r="B18" s="19">
        <v>44795</v>
      </c>
      <c r="C18" s="17" t="s">
        <v>7</v>
      </c>
      <c r="D18" s="32" t="s">
        <v>31</v>
      </c>
      <c r="E18" s="17" t="s">
        <v>28</v>
      </c>
      <c r="F18" s="21">
        <f>RTD("tryd.rtdserver",,"COT",D18,"Exerc")</f>
        <v>0</v>
      </c>
      <c r="G18" s="21">
        <v>0.37</v>
      </c>
      <c r="H18" s="21">
        <f t="shared" si="10"/>
        <v>1.85</v>
      </c>
      <c r="I18" s="21"/>
      <c r="J18" s="21">
        <f t="shared" si="11"/>
        <v>0.12333333333333334</v>
      </c>
      <c r="K18" s="18" t="s">
        <v>198</v>
      </c>
      <c r="L18" s="20">
        <f>RTD("tryd.rtdserver",,"COT",C18,"ult")</f>
        <v>10.26</v>
      </c>
      <c r="M18" s="20">
        <f>RTD("tryd.rtdserver",,"COT",D18,"ult")</f>
        <v>0.37</v>
      </c>
      <c r="N18" s="20">
        <f t="shared" si="12"/>
        <v>-0.37</v>
      </c>
      <c r="O18" s="22">
        <f t="shared" si="3"/>
        <v>-1.0360623781676412</v>
      </c>
      <c r="P18" s="20" t="str">
        <f>RTD("tryd.rtdserver",,"COT",D18,"Expir")</f>
        <v/>
      </c>
      <c r="Q18" s="23">
        <f t="shared" si="4"/>
        <v>11.286000000000001</v>
      </c>
      <c r="R18" s="23">
        <f t="shared" si="5"/>
        <v>11.656000000000001</v>
      </c>
      <c r="S18" s="23">
        <f t="shared" si="6"/>
        <v>-10.629999999999999</v>
      </c>
      <c r="T18" s="18"/>
      <c r="U18" s="31">
        <v>9.0299999999999994</v>
      </c>
      <c r="V18" s="24">
        <f t="shared" si="7"/>
        <v>-0.11988304093567259</v>
      </c>
      <c r="W18" s="31">
        <v>7.4</v>
      </c>
      <c r="X18" s="25">
        <f t="shared" si="8"/>
        <v>-0.27875243664717342</v>
      </c>
      <c r="Y18" s="31">
        <v>7.52</v>
      </c>
      <c r="Z18" s="25">
        <f t="shared" si="9"/>
        <v>-0.26705653021442499</v>
      </c>
    </row>
    <row r="19" spans="2:26" x14ac:dyDescent="0.25">
      <c r="B19" s="11">
        <v>44795</v>
      </c>
      <c r="C19" s="10" t="s">
        <v>9</v>
      </c>
      <c r="D19" s="10" t="s">
        <v>32</v>
      </c>
      <c r="E19" s="10" t="s">
        <v>28</v>
      </c>
      <c r="F19" s="12">
        <f>RTD("tryd.rtdserver",,"COT",D19,"Exerc")</f>
        <v>0</v>
      </c>
      <c r="G19" s="12">
        <v>0.35</v>
      </c>
      <c r="H19" s="12">
        <f t="shared" si="10"/>
        <v>1.75</v>
      </c>
      <c r="I19" s="12"/>
      <c r="J19" s="12">
        <f t="shared" si="11"/>
        <v>0.11666666666666665</v>
      </c>
      <c r="L19" s="8">
        <f>RTD("tryd.rtdserver",,"COT",C19,"ult")</f>
        <v>2.15</v>
      </c>
      <c r="M19" s="8">
        <f>RTD("tryd.rtdserver",,"COT",D19,"ult")</f>
        <v>0.35</v>
      </c>
      <c r="N19" s="8">
        <f t="shared" si="12"/>
        <v>-0.35</v>
      </c>
      <c r="O19" s="9">
        <f t="shared" si="3"/>
        <v>-1.1627906976744187</v>
      </c>
      <c r="P19" s="8" t="str">
        <f>RTD("tryd.rtdserver",,"COT",D19,"Expir")</f>
        <v/>
      </c>
      <c r="Q19" s="13">
        <f t="shared" si="4"/>
        <v>2.3650000000000002</v>
      </c>
      <c r="R19" s="13">
        <f t="shared" si="5"/>
        <v>2.7150000000000003</v>
      </c>
      <c r="S19" s="13">
        <f t="shared" si="6"/>
        <v>-2.5</v>
      </c>
      <c r="U19" s="5">
        <v>2.09</v>
      </c>
      <c r="V19" s="7">
        <f t="shared" si="7"/>
        <v>-2.7906976744186074E-2</v>
      </c>
      <c r="W19" s="5">
        <v>2.48</v>
      </c>
      <c r="X19" s="6">
        <f t="shared" si="8"/>
        <v>0.15348837209302335</v>
      </c>
      <c r="Y19" s="5">
        <v>1.81</v>
      </c>
      <c r="Z19" s="6">
        <f t="shared" si="9"/>
        <v>-0.1581395348837209</v>
      </c>
    </row>
    <row r="20" spans="2:26" x14ac:dyDescent="0.25">
      <c r="B20" s="19">
        <v>44795</v>
      </c>
      <c r="C20" s="17" t="s">
        <v>11</v>
      </c>
      <c r="D20" s="32" t="s">
        <v>33</v>
      </c>
      <c r="E20" s="17" t="s">
        <v>28</v>
      </c>
      <c r="F20" s="21">
        <f>RTD("tryd.rtdserver",,"COT",D20,"Exerc")</f>
        <v>0</v>
      </c>
      <c r="G20" s="21">
        <v>0.5</v>
      </c>
      <c r="H20" s="21">
        <f t="shared" si="10"/>
        <v>2.5</v>
      </c>
      <c r="I20" s="21"/>
      <c r="J20" s="21">
        <f t="shared" si="11"/>
        <v>0.16666666666666666</v>
      </c>
      <c r="K20" s="18" t="s">
        <v>198</v>
      </c>
      <c r="L20" s="20">
        <f>RTD("tryd.rtdserver",,"COT",C20,"ult")</f>
        <v>9.7799999999999994</v>
      </c>
      <c r="M20" s="20">
        <f>RTD("tryd.rtdserver",,"COT",D20,"ult")</f>
        <v>0.47</v>
      </c>
      <c r="N20" s="20">
        <f t="shared" si="12"/>
        <v>-0.5</v>
      </c>
      <c r="O20" s="22">
        <f t="shared" si="3"/>
        <v>-1.0511247443762781</v>
      </c>
      <c r="P20" s="20" t="str">
        <f>RTD("tryd.rtdserver",,"COT",D20,"Expir")</f>
        <v/>
      </c>
      <c r="Q20" s="23">
        <f t="shared" si="4"/>
        <v>10.758000000000001</v>
      </c>
      <c r="R20" s="23">
        <f t="shared" si="5"/>
        <v>11.258000000000001</v>
      </c>
      <c r="S20" s="23">
        <f t="shared" si="6"/>
        <v>-10.28</v>
      </c>
      <c r="T20" s="18"/>
      <c r="U20" s="31">
        <v>8.9</v>
      </c>
      <c r="V20" s="24">
        <f t="shared" si="7"/>
        <v>-8.9979550102249339E-2</v>
      </c>
      <c r="W20" s="31">
        <v>7.47</v>
      </c>
      <c r="X20" s="25">
        <f t="shared" si="8"/>
        <v>-0.23619631901840488</v>
      </c>
      <c r="Y20" s="31">
        <v>5.8</v>
      </c>
      <c r="Z20" s="25">
        <f t="shared" si="9"/>
        <v>-0.40695296523517377</v>
      </c>
    </row>
    <row r="21" spans="2:26" x14ac:dyDescent="0.25">
      <c r="B21" s="11">
        <v>44795</v>
      </c>
      <c r="C21" s="33" t="s">
        <v>34</v>
      </c>
      <c r="D21" s="32" t="s">
        <v>35</v>
      </c>
      <c r="E21" s="10" t="s">
        <v>28</v>
      </c>
      <c r="F21" s="12">
        <f>RTD("tryd.rtdserver",,"COT",D21,"Exerc")</f>
        <v>31.26</v>
      </c>
      <c r="G21" s="12">
        <v>0.41</v>
      </c>
      <c r="H21" s="12">
        <f t="shared" si="10"/>
        <v>2.0499999999999998</v>
      </c>
      <c r="I21" s="12"/>
      <c r="J21" s="12">
        <f t="shared" si="11"/>
        <v>0.13666666666666666</v>
      </c>
      <c r="K21" t="s">
        <v>198</v>
      </c>
      <c r="L21" s="8">
        <f>RTD("tryd.rtdserver",,"COT",C21,"ult")</f>
        <v>35.89</v>
      </c>
      <c r="M21" s="8">
        <f>RTD("tryd.rtdserver",,"COT",D21,"ult")</f>
        <v>0</v>
      </c>
      <c r="N21" s="8">
        <f t="shared" si="12"/>
        <v>30.85</v>
      </c>
      <c r="O21" s="9">
        <f t="shared" si="3"/>
        <v>-0.14042908888269712</v>
      </c>
      <c r="P21" s="8" t="str">
        <f>RTD("tryd.rtdserver",,"COT",D21,"Expir")</f>
        <v/>
      </c>
      <c r="Q21" s="13">
        <f t="shared" si="4"/>
        <v>39.479000000000006</v>
      </c>
      <c r="R21" s="13">
        <f t="shared" si="5"/>
        <v>8.6290000000000049</v>
      </c>
      <c r="S21" s="13">
        <f t="shared" si="6"/>
        <v>-5.0399999999999991</v>
      </c>
      <c r="U21" s="5">
        <v>32.229999999999997</v>
      </c>
      <c r="V21" s="7">
        <f t="shared" si="7"/>
        <v>-0.10197826692672063</v>
      </c>
      <c r="W21" s="5">
        <v>29</v>
      </c>
      <c r="X21" s="6">
        <f t="shared" si="8"/>
        <v>-0.19197548063527448</v>
      </c>
      <c r="Y21" s="5">
        <v>26.9</v>
      </c>
      <c r="Z21" s="6">
        <f t="shared" si="9"/>
        <v>-0.250487601003065</v>
      </c>
    </row>
    <row r="22" spans="2:26" x14ac:dyDescent="0.25">
      <c r="B22" s="19">
        <v>44795</v>
      </c>
      <c r="C22" s="17" t="s">
        <v>15</v>
      </c>
      <c r="D22" s="17" t="s">
        <v>185</v>
      </c>
      <c r="E22" s="17" t="s">
        <v>28</v>
      </c>
      <c r="F22" s="21">
        <f>RTD("tryd.rtdserver",,"COT",D22,"Exerc")</f>
        <v>0</v>
      </c>
      <c r="G22" s="21">
        <v>0.52</v>
      </c>
      <c r="H22" s="21">
        <f t="shared" si="10"/>
        <v>2.6</v>
      </c>
      <c r="I22" s="21"/>
      <c r="J22" s="21">
        <f t="shared" si="11"/>
        <v>0.17333333333333334</v>
      </c>
      <c r="K22" s="18"/>
      <c r="L22" s="20">
        <f>RTD("tryd.rtdserver",,"COT",C22,"ult")</f>
        <v>9.67</v>
      </c>
      <c r="M22" s="20">
        <f>RTD("tryd.rtdserver",,"COT",D22,"ult")</f>
        <v>0.52</v>
      </c>
      <c r="N22" s="20">
        <f t="shared" si="12"/>
        <v>-0.52</v>
      </c>
      <c r="O22" s="22">
        <f t="shared" si="3"/>
        <v>-1.0537745604963806</v>
      </c>
      <c r="P22" s="20" t="str">
        <f>RTD("tryd.rtdserver",,"COT",D22,"Expir")</f>
        <v/>
      </c>
      <c r="Q22" s="23">
        <f t="shared" si="4"/>
        <v>10.637</v>
      </c>
      <c r="R22" s="23">
        <f t="shared" si="5"/>
        <v>11.157</v>
      </c>
      <c r="S22" s="23">
        <f t="shared" si="6"/>
        <v>-10.19</v>
      </c>
      <c r="T22" s="18"/>
      <c r="U22" s="31">
        <v>8.83</v>
      </c>
      <c r="V22" s="24">
        <f t="shared" si="7"/>
        <v>-8.6866597724922445E-2</v>
      </c>
      <c r="W22" s="31">
        <v>7.75</v>
      </c>
      <c r="X22" s="25">
        <f t="shared" si="8"/>
        <v>-0.19855222337125134</v>
      </c>
      <c r="Y22" s="31">
        <v>8.84</v>
      </c>
      <c r="Z22" s="25">
        <f t="shared" si="9"/>
        <v>-8.583247156153051E-2</v>
      </c>
    </row>
    <row r="23" spans="2:26" x14ac:dyDescent="0.25">
      <c r="B23" s="11">
        <v>44795</v>
      </c>
      <c r="C23" s="10" t="s">
        <v>17</v>
      </c>
      <c r="D23" s="10" t="s">
        <v>36</v>
      </c>
      <c r="E23" s="10" t="s">
        <v>28</v>
      </c>
      <c r="F23" s="12">
        <f>RTD("tryd.rtdserver",,"COT",D23,"Exerc")</f>
        <v>0</v>
      </c>
      <c r="G23" s="12">
        <v>0.32</v>
      </c>
      <c r="H23" s="12">
        <f t="shared" si="10"/>
        <v>1.6</v>
      </c>
      <c r="I23" s="12"/>
      <c r="J23" s="12">
        <f t="shared" si="11"/>
        <v>0.10666666666666667</v>
      </c>
      <c r="L23" s="8">
        <f>RTD("tryd.rtdserver",,"COT",C23,"ult")</f>
        <v>23.27</v>
      </c>
      <c r="M23" s="8">
        <f>RTD("tryd.rtdserver",,"COT",D23,"ult")</f>
        <v>0.32</v>
      </c>
      <c r="N23" s="8">
        <f t="shared" si="12"/>
        <v>-0.32</v>
      </c>
      <c r="O23" s="9">
        <f t="shared" si="3"/>
        <v>-1.0137516115169747</v>
      </c>
      <c r="P23" s="8" t="str">
        <f>RTD("tryd.rtdserver",,"COT",D23,"Expir")</f>
        <v/>
      </c>
      <c r="Q23" s="13">
        <f t="shared" si="4"/>
        <v>25.597000000000001</v>
      </c>
      <c r="R23" s="13">
        <f t="shared" si="5"/>
        <v>25.917000000000002</v>
      </c>
      <c r="S23" s="13">
        <f t="shared" si="6"/>
        <v>-23.59</v>
      </c>
      <c r="U23" s="5">
        <v>22.18</v>
      </c>
      <c r="V23" s="7">
        <f t="shared" si="7"/>
        <v>-4.6841426729694935E-2</v>
      </c>
      <c r="W23" s="5">
        <v>20.02</v>
      </c>
      <c r="X23" s="6">
        <f t="shared" si="8"/>
        <v>-0.13966480446927376</v>
      </c>
      <c r="Y23" s="5">
        <v>22.79</v>
      </c>
      <c r="Z23" s="6">
        <f t="shared" si="9"/>
        <v>-2.0627417275462023E-2</v>
      </c>
    </row>
    <row r="24" spans="2:26" x14ac:dyDescent="0.25">
      <c r="B24" s="19">
        <v>44795</v>
      </c>
      <c r="C24" s="17" t="s">
        <v>19</v>
      </c>
      <c r="D24" s="32" t="s">
        <v>37</v>
      </c>
      <c r="E24" s="17" t="s">
        <v>28</v>
      </c>
      <c r="F24" s="21">
        <f>RTD("tryd.rtdserver",,"COT",D24,"Exerc")</f>
        <v>0</v>
      </c>
      <c r="G24" s="21">
        <v>0.5</v>
      </c>
      <c r="H24" s="21">
        <f t="shared" si="10"/>
        <v>2.5</v>
      </c>
      <c r="I24" s="21"/>
      <c r="J24" s="21">
        <f t="shared" si="11"/>
        <v>0.16666666666666666</v>
      </c>
      <c r="K24" s="18" t="s">
        <v>198</v>
      </c>
      <c r="L24" s="20">
        <f>RTD("tryd.rtdserver",,"COT",C24,"ult")</f>
        <v>30.21</v>
      </c>
      <c r="M24" s="20">
        <f>RTD("tryd.rtdserver",,"COT",D24,"ult")</f>
        <v>0.5</v>
      </c>
      <c r="N24" s="20">
        <f t="shared" si="12"/>
        <v>-0.5</v>
      </c>
      <c r="O24" s="22">
        <f t="shared" si="3"/>
        <v>-1.0165508109897385</v>
      </c>
      <c r="P24" s="20" t="str">
        <f>RTD("tryd.rtdserver",,"COT",D24,"Expir")</f>
        <v/>
      </c>
      <c r="Q24" s="23">
        <f t="shared" si="4"/>
        <v>33.231000000000002</v>
      </c>
      <c r="R24" s="23">
        <f t="shared" si="5"/>
        <v>33.731000000000002</v>
      </c>
      <c r="S24" s="23">
        <f t="shared" si="6"/>
        <v>-30.71</v>
      </c>
      <c r="T24" s="18"/>
      <c r="U24" s="31">
        <v>28.3</v>
      </c>
      <c r="V24" s="24">
        <f t="shared" si="7"/>
        <v>-6.3224097980801086E-2</v>
      </c>
      <c r="W24" s="31">
        <v>26.16</v>
      </c>
      <c r="X24" s="25">
        <f t="shared" si="8"/>
        <v>-0.13406156901688182</v>
      </c>
      <c r="Y24" s="31">
        <v>24.31</v>
      </c>
      <c r="Z24" s="25">
        <f t="shared" si="9"/>
        <v>-0.19529956967891438</v>
      </c>
    </row>
  </sheetData>
  <mergeCells count="6">
    <mergeCell ref="Y3:Z3"/>
    <mergeCell ref="Y14:Z14"/>
    <mergeCell ref="W3:X3"/>
    <mergeCell ref="U3:V3"/>
    <mergeCell ref="U14:V14"/>
    <mergeCell ref="W14:X14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285A-690D-43F1-BC48-4F01E0F23733}">
  <dimension ref="C2:AQ5"/>
  <sheetViews>
    <sheetView workbookViewId="0">
      <selection activeCell="H3" sqref="H3"/>
    </sheetView>
  </sheetViews>
  <sheetFormatPr defaultRowHeight="15" x14ac:dyDescent="0.25"/>
  <sheetData>
    <row r="2" spans="3:43" x14ac:dyDescent="0.25">
      <c r="C2" s="1"/>
      <c r="D2" s="1">
        <v>56</v>
      </c>
      <c r="E2" s="1">
        <v>23</v>
      </c>
      <c r="F2" s="1">
        <v>68</v>
      </c>
      <c r="G2" s="1">
        <v>60</v>
      </c>
      <c r="H2" s="1">
        <v>69</v>
      </c>
      <c r="I2" s="1">
        <v>70</v>
      </c>
      <c r="J2" s="1">
        <v>71</v>
      </c>
      <c r="K2" s="1">
        <v>72</v>
      </c>
      <c r="L2" s="1">
        <v>73</v>
      </c>
      <c r="M2" s="1">
        <v>74</v>
      </c>
      <c r="N2" s="1">
        <v>75</v>
      </c>
      <c r="O2" s="1">
        <v>76</v>
      </c>
      <c r="P2" s="1">
        <v>77</v>
      </c>
      <c r="Q2" s="1">
        <v>78</v>
      </c>
      <c r="R2" s="1">
        <v>79</v>
      </c>
      <c r="S2" s="1">
        <v>80</v>
      </c>
      <c r="T2" s="1">
        <v>81</v>
      </c>
      <c r="U2" s="1">
        <v>82</v>
      </c>
      <c r="V2" s="1">
        <v>83</v>
      </c>
      <c r="W2" s="1">
        <v>84</v>
      </c>
      <c r="X2" s="1">
        <v>85</v>
      </c>
      <c r="Y2" s="1">
        <v>86</v>
      </c>
      <c r="Z2" s="1">
        <v>87</v>
      </c>
      <c r="AA2" s="1">
        <v>88</v>
      </c>
      <c r="AB2" s="1">
        <v>89</v>
      </c>
      <c r="AC2" s="1">
        <v>90</v>
      </c>
      <c r="AD2" s="1">
        <v>91</v>
      </c>
      <c r="AE2" s="1">
        <v>92</v>
      </c>
      <c r="AF2" s="1">
        <v>93</v>
      </c>
      <c r="AG2" s="1">
        <v>94</v>
      </c>
      <c r="AH2" s="1">
        <v>95</v>
      </c>
      <c r="AI2" s="1">
        <v>96</v>
      </c>
      <c r="AJ2" s="1">
        <v>97</v>
      </c>
      <c r="AK2" s="1">
        <v>98</v>
      </c>
      <c r="AL2" s="1">
        <v>99</v>
      </c>
      <c r="AM2" s="1">
        <v>100</v>
      </c>
      <c r="AN2" s="1">
        <v>101</v>
      </c>
      <c r="AO2" s="1">
        <v>102</v>
      </c>
      <c r="AP2" s="1">
        <v>103</v>
      </c>
      <c r="AQ2" s="1">
        <v>104</v>
      </c>
    </row>
    <row r="3" spans="3:43" x14ac:dyDescent="0.25">
      <c r="C3" s="2" t="s">
        <v>41</v>
      </c>
      <c r="D3" s="2" t="s">
        <v>42</v>
      </c>
      <c r="E3" s="2" t="s">
        <v>43</v>
      </c>
      <c r="F3" s="2" t="s">
        <v>44</v>
      </c>
      <c r="G3" s="2" t="s">
        <v>45</v>
      </c>
      <c r="H3" s="2" t="s">
        <v>50</v>
      </c>
      <c r="I3" s="2" t="s">
        <v>49</v>
      </c>
      <c r="J3" s="2" t="s">
        <v>46</v>
      </c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46</v>
      </c>
      <c r="AC3" s="2" t="s">
        <v>46</v>
      </c>
      <c r="AD3" s="2" t="s">
        <v>46</v>
      </c>
      <c r="AE3" s="2" t="s">
        <v>46</v>
      </c>
      <c r="AF3" s="2" t="s">
        <v>46</v>
      </c>
      <c r="AG3" s="2" t="s">
        <v>46</v>
      </c>
      <c r="AH3" s="2" t="s">
        <v>46</v>
      </c>
      <c r="AI3" s="2" t="s">
        <v>46</v>
      </c>
      <c r="AJ3" s="2" t="s">
        <v>46</v>
      </c>
      <c r="AK3" s="2" t="s">
        <v>46</v>
      </c>
      <c r="AL3" s="2" t="s">
        <v>46</v>
      </c>
      <c r="AM3" s="2" t="s">
        <v>46</v>
      </c>
      <c r="AN3" s="2" t="s">
        <v>46</v>
      </c>
      <c r="AO3" s="2" t="s">
        <v>46</v>
      </c>
      <c r="AP3" s="2" t="s">
        <v>46</v>
      </c>
      <c r="AQ3" s="2" t="s">
        <v>46</v>
      </c>
    </row>
    <row r="4" spans="3:43" x14ac:dyDescent="0.25">
      <c r="C4" s="3" t="s">
        <v>48</v>
      </c>
      <c r="D4">
        <f>RTD("tryd.rtdserver",,"COT",C4,"ult")</f>
        <v>0</v>
      </c>
      <c r="E4" t="str">
        <f>RTD("tryd.rtdserver",,"COT",C4,"desc")</f>
        <v>BBASE ON 38,28</v>
      </c>
      <c r="F4">
        <f>RTD("tryd.rtdserver",,"COT",C4,"fech")</f>
        <v>0</v>
      </c>
      <c r="G4">
        <f>RTD("tryd.rtdserver",,"COT",C4,"VarPer")</f>
        <v>0</v>
      </c>
      <c r="H4" t="str">
        <f>RTD("tryd.rtdserver",,"COT",C4,H3)</f>
        <v/>
      </c>
      <c r="I4">
        <f>RTD("tryd.rtdserver",,"COT",D4,I3)</f>
        <v>0</v>
      </c>
      <c r="J4">
        <f>RTD("tryd.rtdserver",,"COT",E4,"Abert")</f>
        <v>0</v>
      </c>
      <c r="K4">
        <f>RTD("tryd.rtdserver",,"COT",F4,"Abert")</f>
        <v>0</v>
      </c>
      <c r="L4">
        <f>RTD("tryd.rtdserver",,"COT",G4,"Abert")</f>
        <v>0</v>
      </c>
      <c r="M4">
        <f>RTD("tryd.rtdserver",,"COT",H4,"Abert")</f>
        <v>0</v>
      </c>
      <c r="N4">
        <f>RTD("tryd.rtdserver",,"COT",I4,"Abert")</f>
        <v>0</v>
      </c>
      <c r="O4">
        <f>RTD("tryd.rtdserver",,"COT",J4,"Abert")</f>
        <v>0</v>
      </c>
      <c r="P4">
        <f>RTD("tryd.rtdserver",,"COT",K4,"Abert")</f>
        <v>0</v>
      </c>
      <c r="Q4">
        <f>RTD("tryd.rtdserver",,"COT",L4,"Abert")</f>
        <v>0</v>
      </c>
      <c r="R4">
        <f>RTD("tryd.rtdserver",,"COT",M4,"Abert")</f>
        <v>0</v>
      </c>
      <c r="S4">
        <f>RTD("tryd.rtdserver",,"COT",N4,"Abert")</f>
        <v>0</v>
      </c>
      <c r="T4">
        <f>RTD("tryd.rtdserver",,"COT",O4,"Abert")</f>
        <v>0</v>
      </c>
      <c r="U4">
        <f>RTD("tryd.rtdserver",,"COT",P4,"Abert")</f>
        <v>0</v>
      </c>
      <c r="V4">
        <f>RTD("tryd.rtdserver",,"COT",Q4,"Abert")</f>
        <v>0</v>
      </c>
      <c r="W4">
        <f>RTD("tryd.rtdserver",,"COT",R4,"Abert")</f>
        <v>0</v>
      </c>
      <c r="X4">
        <f>RTD("tryd.rtdserver",,"COT",S4,"Abert")</f>
        <v>0</v>
      </c>
      <c r="Y4">
        <f>RTD("tryd.rtdserver",,"COT",T4,"Abert")</f>
        <v>0</v>
      </c>
      <c r="Z4">
        <f>RTD("tryd.rtdserver",,"COT",U4,"Abert")</f>
        <v>0</v>
      </c>
      <c r="AA4">
        <f>RTD("tryd.rtdserver",,"COT",V4,"Abert")</f>
        <v>0</v>
      </c>
      <c r="AB4">
        <f>RTD("tryd.rtdserver",,"COT",W4,"Abert")</f>
        <v>0</v>
      </c>
      <c r="AC4">
        <f>RTD("tryd.rtdserver",,"COT",X4,"Abert")</f>
        <v>0</v>
      </c>
      <c r="AD4">
        <f>RTD("tryd.rtdserver",,"COT",Y4,"Abert")</f>
        <v>0</v>
      </c>
      <c r="AE4">
        <f>RTD("tryd.rtdserver",,"COT",Z4,"Abert")</f>
        <v>0</v>
      </c>
      <c r="AF4">
        <f>RTD("tryd.rtdserver",,"COT",AA4,"Abert")</f>
        <v>0</v>
      </c>
      <c r="AG4">
        <f>RTD("tryd.rtdserver",,"COT",AB4,"Abert")</f>
        <v>0</v>
      </c>
      <c r="AH4">
        <f>RTD("tryd.rtdserver",,"COT",AC4,"Abert")</f>
        <v>0</v>
      </c>
      <c r="AI4">
        <f>RTD("tryd.rtdserver",,"COT",AD4,"Abert")</f>
        <v>0</v>
      </c>
      <c r="AJ4">
        <f>RTD("tryd.rtdserver",,"COT",AE4,"Abert")</f>
        <v>0</v>
      </c>
      <c r="AK4">
        <f>RTD("tryd.rtdserver",,"COT",AF4,"Abert")</f>
        <v>0</v>
      </c>
      <c r="AL4">
        <f>RTD("tryd.rtdserver",,"COT",AG4,"Abert")</f>
        <v>0</v>
      </c>
      <c r="AM4">
        <f>RTD("tryd.rtdserver",,"COT",AH4,"Abert")</f>
        <v>0</v>
      </c>
      <c r="AN4">
        <f>RTD("tryd.rtdserver",,"COT",AI4,"Abert")</f>
        <v>0</v>
      </c>
      <c r="AO4">
        <f>RTD("tryd.rtdserver",,"COT",AJ4,"Abert")</f>
        <v>0</v>
      </c>
      <c r="AP4">
        <f>RTD("tryd.rtdserver",,"COT",AK4,"Abert")</f>
        <v>0</v>
      </c>
      <c r="AQ4">
        <f>RTD("tryd.rtdserver",,"COT",AL4,"Abert")</f>
        <v>0</v>
      </c>
    </row>
    <row r="5" spans="3:43" x14ac:dyDescent="0.25">
      <c r="C5" s="4" t="s">
        <v>47</v>
      </c>
      <c r="D5">
        <f>RTD("tryd.rtdserver",,"COT",C5,"ult")</f>
        <v>86.36</v>
      </c>
      <c r="E5" t="str">
        <f>RTD("tryd.rtdserver",,"COT",C5,"desc")</f>
        <v>APPLE DRN</v>
      </c>
      <c r="F5">
        <f>RTD("tryd.rtdserver",,"COT",C5,"fech")</f>
        <v>88.92</v>
      </c>
      <c r="G5">
        <f>RTD("tryd.rtdserver",,"COT",C5,"VarPer")</f>
        <v>-2.87</v>
      </c>
      <c r="H5">
        <f>RTD("tryd.rtdserver",,"COT",C5,"Abert")</f>
        <v>87.94</v>
      </c>
      <c r="I5">
        <f>RTD("tryd.rtdserver",,"COT",D5,"Abert")</f>
        <v>0</v>
      </c>
      <c r="J5">
        <f>RTD("tryd.rtdserver",,"COT",E5,"Abert")</f>
        <v>0</v>
      </c>
      <c r="K5">
        <f>RTD("tryd.rtdserver",,"COT",F5,"Abert")</f>
        <v>0</v>
      </c>
      <c r="L5">
        <f>RTD("tryd.rtdserver",,"COT",G5,"Abert")</f>
        <v>0</v>
      </c>
      <c r="M5">
        <f>RTD("tryd.rtdserver",,"COT",H5,"Abert")</f>
        <v>0</v>
      </c>
      <c r="N5">
        <f>RTD("tryd.rtdserver",,"COT",I5,"Abert")</f>
        <v>0</v>
      </c>
      <c r="O5">
        <f>RTD("tryd.rtdserver",,"COT",J5,"Abert")</f>
        <v>0</v>
      </c>
      <c r="P5">
        <f>RTD("tryd.rtdserver",,"COT",K5,"Abert")</f>
        <v>0</v>
      </c>
      <c r="Q5">
        <f>RTD("tryd.rtdserver",,"COT",L5,"Abert")</f>
        <v>0</v>
      </c>
      <c r="R5">
        <f>RTD("tryd.rtdserver",,"COT",M5,"Abert")</f>
        <v>0</v>
      </c>
      <c r="S5">
        <f>RTD("tryd.rtdserver",,"COT",N5,"Abert")</f>
        <v>0</v>
      </c>
      <c r="T5">
        <f>RTD("tryd.rtdserver",,"COT",O5,"Abert")</f>
        <v>0</v>
      </c>
      <c r="U5">
        <f>RTD("tryd.rtdserver",,"COT",P5,"Abert")</f>
        <v>0</v>
      </c>
      <c r="V5">
        <f>RTD("tryd.rtdserver",,"COT",Q5,"Abert")</f>
        <v>0</v>
      </c>
      <c r="W5">
        <f>RTD("tryd.rtdserver",,"COT",R5,"Abert")</f>
        <v>0</v>
      </c>
      <c r="X5">
        <f>RTD("tryd.rtdserver",,"COT",S5,"Abert")</f>
        <v>0</v>
      </c>
      <c r="Y5">
        <f>RTD("tryd.rtdserver",,"COT",T5,"Abert")</f>
        <v>0</v>
      </c>
      <c r="Z5">
        <f>RTD("tryd.rtdserver",,"COT",U5,"Abert")</f>
        <v>0</v>
      </c>
      <c r="AA5">
        <f>RTD("tryd.rtdserver",,"COT",V5,"Abert")</f>
        <v>0</v>
      </c>
      <c r="AB5">
        <f>RTD("tryd.rtdserver",,"COT",W5,"Abert")</f>
        <v>0</v>
      </c>
      <c r="AC5">
        <f>RTD("tryd.rtdserver",,"COT",X5,"Abert")</f>
        <v>0</v>
      </c>
      <c r="AD5">
        <f>RTD("tryd.rtdserver",,"COT",Y5,"Abert")</f>
        <v>0</v>
      </c>
      <c r="AE5">
        <f>RTD("tryd.rtdserver",,"COT",Z5,"Abert")</f>
        <v>0</v>
      </c>
      <c r="AF5">
        <f>RTD("tryd.rtdserver",,"COT",AA5,"Abert")</f>
        <v>0</v>
      </c>
      <c r="AG5">
        <f>RTD("tryd.rtdserver",,"COT",AB5,"Abert")</f>
        <v>0</v>
      </c>
      <c r="AH5">
        <f>RTD("tryd.rtdserver",,"COT",AC5,"Abert")</f>
        <v>0</v>
      </c>
      <c r="AI5">
        <f>RTD("tryd.rtdserver",,"COT",AD5,"Abert")</f>
        <v>0</v>
      </c>
      <c r="AJ5">
        <f>RTD("tryd.rtdserver",,"COT",AE5,"Abert")</f>
        <v>0</v>
      </c>
      <c r="AK5">
        <f>RTD("tryd.rtdserver",,"COT",AF5,"Abert")</f>
        <v>0</v>
      </c>
      <c r="AL5">
        <f>RTD("tryd.rtdserver",,"COT",AG5,"Abert")</f>
        <v>0</v>
      </c>
      <c r="AM5">
        <f>RTD("tryd.rtdserver",,"COT",AH5,"Abert")</f>
        <v>0</v>
      </c>
      <c r="AN5">
        <f>RTD("tryd.rtdserver",,"COT",AI5,"Abert")</f>
        <v>0</v>
      </c>
      <c r="AO5">
        <f>RTD("tryd.rtdserver",,"COT",AJ5,"Abert")</f>
        <v>0</v>
      </c>
      <c r="AP5">
        <f>RTD("tryd.rtdserver",,"COT",AK5,"Abert")</f>
        <v>0</v>
      </c>
      <c r="AQ5">
        <f>RTD("tryd.rtdserver",,"COT",AL5,"Abert")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821AA-8EB0-4340-A746-51098FC2C704}">
  <dimension ref="A1:Q130"/>
  <sheetViews>
    <sheetView topLeftCell="B1" workbookViewId="0">
      <selection activeCell="R7" sqref="R7"/>
    </sheetView>
  </sheetViews>
  <sheetFormatPr defaultRowHeight="15" x14ac:dyDescent="0.25"/>
  <sheetData>
    <row r="1" spans="1:17" x14ac:dyDescent="0.25">
      <c r="A1" t="s">
        <v>51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  <c r="G1" t="s">
        <v>57</v>
      </c>
      <c r="H1" t="s">
        <v>58</v>
      </c>
      <c r="I1" t="s">
        <v>59</v>
      </c>
      <c r="J1" t="s">
        <v>60</v>
      </c>
      <c r="K1" t="s">
        <v>61</v>
      </c>
      <c r="L1" t="s">
        <v>44</v>
      </c>
      <c r="M1" t="s">
        <v>62</v>
      </c>
      <c r="N1" t="s">
        <v>63</v>
      </c>
      <c r="O1" t="s">
        <v>64</v>
      </c>
      <c r="P1" t="s">
        <v>65</v>
      </c>
      <c r="Q1" t="s">
        <v>66</v>
      </c>
    </row>
    <row r="2" spans="1:17" x14ac:dyDescent="0.25">
      <c r="A2" t="str" cm="1">
        <f t="array" ref="A2">[1]!AAPL34.Estado</f>
        <v>Normal</v>
      </c>
      <c r="B2" cm="1">
        <f t="array" ref="B2">[1]!AAPL34.PreTeo</f>
        <v>0</v>
      </c>
      <c r="C2" t="s">
        <v>67</v>
      </c>
      <c r="D2" t="e" cm="1" vm="1">
        <f t="array" aca="1" ref="D2" ca="1">[1]!AAPL34.Ult</f>
        <v>#VALUE!</v>
      </c>
      <c r="E2" t="e" cm="1" vm="1">
        <f t="array" aca="1" ref="E2" ca="1">[1]!AAPL34.VarPer</f>
        <v>#VALUE!</v>
      </c>
      <c r="F2" cm="1">
        <f t="array" ref="F2">[1]!AAPL34.Hora</f>
        <v>0.73146990740740747</v>
      </c>
      <c r="G2" t="e" cm="1" vm="1">
        <f t="array" aca="1" ref="G2" ca="1">[1]!AAPL34.VarSem</f>
        <v>#VALUE!</v>
      </c>
      <c r="H2" t="e" cm="1" vm="1">
        <f t="array" aca="1" ref="H2" ca="1">[1]!AAPL34.VarMes</f>
        <v>#VALUE!</v>
      </c>
      <c r="I2" t="e" cm="1" vm="1">
        <f t="array" aca="1" ref="I2" ca="1">[1]!AAPL34.Var12M</f>
        <v>#VALUE!</v>
      </c>
      <c r="J2" cm="1">
        <f t="array" ref="J2">[1]!AAPL34.Vol</f>
        <v>14473097</v>
      </c>
      <c r="K2" cm="1">
        <f t="array" ref="K2">[1]!AAPL34.QtdNeg</f>
        <v>911</v>
      </c>
      <c r="L2" t="e" cm="1" vm="1">
        <f t="array" aca="1" ref="L2" ca="1">[1]!AAPL34.Fech</f>
        <v>#VALUE!</v>
      </c>
      <c r="M2" cm="1">
        <f t="array" ref="M2">[1]!AAPL34.IbovParticip</f>
        <v>0</v>
      </c>
      <c r="N2" t="str" cm="1">
        <f t="array" ref="N2">[1]!AAPL34.Desc</f>
        <v>APPLE DRN</v>
      </c>
      <c r="O2" t="e" cm="1" vm="1">
        <f t="array" aca="1" ref="O2" ca="1">[1]!AAPL34.VarAnual</f>
        <v>#VALUE!</v>
      </c>
      <c r="P2" cm="1">
        <f t="array" ref="P2">[1]!AAPL34.Exerc</f>
        <v>0</v>
      </c>
      <c r="Q2" cm="1">
        <f t="array" ref="Q2">[1]!AAPL34.Expir</f>
        <v>0</v>
      </c>
    </row>
    <row r="3" spans="1:17" x14ac:dyDescent="0.25">
      <c r="A3" t="str" cm="1">
        <f t="array" ref="A3">[1]!ABEV3.Estado</f>
        <v>Normal</v>
      </c>
      <c r="B3" cm="1">
        <f t="array" ref="B3">[1]!ABEV3.PreTeo</f>
        <v>0</v>
      </c>
      <c r="C3" t="s">
        <v>68</v>
      </c>
      <c r="D3" t="e" cm="1" vm="1">
        <f t="array" aca="1" ref="D3" ca="1">[1]!ABEV3.Ult</f>
        <v>#VALUE!</v>
      </c>
      <c r="E3" t="e" cm="1" vm="1">
        <f t="array" aca="1" ref="E3" ca="1">[1]!ABEV3.VarPer</f>
        <v>#VALUE!</v>
      </c>
      <c r="F3" cm="1">
        <f t="array" ref="F3">[1]!ABEV3.Hora</f>
        <v>0.74746527777777771</v>
      </c>
      <c r="G3" t="e" cm="1" vm="1">
        <f t="array" aca="1" ref="G3" ca="1">[1]!ABEV3.VarSem</f>
        <v>#VALUE!</v>
      </c>
      <c r="H3" t="e" cm="1" vm="1">
        <f t="array" aca="1" ref="H3" ca="1">[1]!ABEV3.VarMes</f>
        <v>#VALUE!</v>
      </c>
      <c r="I3" t="e" cm="1" vm="1">
        <f t="array" aca="1" ref="I3" ca="1">[1]!ABEV3.Var12M</f>
        <v>#VALUE!</v>
      </c>
      <c r="J3" cm="1">
        <f t="array" ref="J3">[1]!ABEV3.Vol</f>
        <v>280623698</v>
      </c>
      <c r="K3" cm="1">
        <f t="array" ref="K3">[1]!ABEV3.QtdNeg</f>
        <v>27353</v>
      </c>
      <c r="L3" t="e" cm="1" vm="1">
        <f t="array" aca="1" ref="L3" ca="1">[1]!ABEV3.Fech</f>
        <v>#VALUE!</v>
      </c>
      <c r="M3" t="e" cm="1" vm="1">
        <f t="array" aca="1" ref="M3" ca="1">[1]!ABEV3.IbovParticip</f>
        <v>#VALUE!</v>
      </c>
      <c r="N3" t="str" cm="1">
        <f t="array" ref="N3">[1]!ABEV3.Desc</f>
        <v>AMBEV S/A ON</v>
      </c>
      <c r="O3" t="e" cm="1" vm="1">
        <f t="array" aca="1" ref="O3" ca="1">[1]!ABEV3.VarAnual</f>
        <v>#VALUE!</v>
      </c>
      <c r="P3" cm="1">
        <f t="array" ref="P3">[1]!ABEV3.Exerc</f>
        <v>0</v>
      </c>
      <c r="Q3" cm="1">
        <f t="array" ref="Q3">[1]!ABEV3.Expir</f>
        <v>0</v>
      </c>
    </row>
    <row r="4" spans="1:17" x14ac:dyDescent="0.25">
      <c r="A4" t="str" cm="1">
        <f t="array" ref="A4">[1]!ALPA4.Estado</f>
        <v>Normal</v>
      </c>
      <c r="B4" cm="1">
        <f t="array" ref="B4">[1]!ALPA4.PreTeo</f>
        <v>0</v>
      </c>
      <c r="C4" t="s">
        <v>69</v>
      </c>
      <c r="D4" t="e" cm="1" vm="1">
        <f t="array" aca="1" ref="D4" ca="1">[1]!ALPA4.Ult</f>
        <v>#VALUE!</v>
      </c>
      <c r="E4" t="e" cm="1" vm="1">
        <f t="array" aca="1" ref="E4" ca="1">[1]!ALPA4.VarPer</f>
        <v>#VALUE!</v>
      </c>
      <c r="F4" cm="1">
        <f t="array" ref="F4">[1]!ALPA4.Hora</f>
        <v>0.74633101851851846</v>
      </c>
      <c r="G4" t="e" cm="1" vm="1">
        <f t="array" aca="1" ref="G4" ca="1">[1]!ALPA4.VarSem</f>
        <v>#VALUE!</v>
      </c>
      <c r="H4" t="e" cm="1" vm="1">
        <f t="array" aca="1" ref="H4" ca="1">[1]!ALPA4.VarMes</f>
        <v>#VALUE!</v>
      </c>
      <c r="I4" t="e" cm="1" vm="1">
        <f t="array" aca="1" ref="I4" ca="1">[1]!ALPA4.Var12M</f>
        <v>#VALUE!</v>
      </c>
      <c r="J4" cm="1">
        <f t="array" ref="J4">[1]!ALPA4.Vol</f>
        <v>49122232</v>
      </c>
      <c r="K4" cm="1">
        <f t="array" ref="K4">[1]!ALPA4.QtdNeg</f>
        <v>11852</v>
      </c>
      <c r="L4" t="e" cm="1" vm="1">
        <f t="array" aca="1" ref="L4" ca="1">[1]!ALPA4.Fech</f>
        <v>#VALUE!</v>
      </c>
      <c r="M4" t="e" cm="1" vm="1">
        <f t="array" aca="1" ref="M4" ca="1">[1]!ALPA4.IbovParticip</f>
        <v>#VALUE!</v>
      </c>
      <c r="N4" t="str" cm="1">
        <f t="array" ref="N4">[1]!ALPA4.Desc</f>
        <v>ALPARGATAS PN N1</v>
      </c>
      <c r="O4" t="e" cm="1" vm="1">
        <f t="array" aca="1" ref="O4" ca="1">[1]!ALPA4.VarAnual</f>
        <v>#VALUE!</v>
      </c>
      <c r="P4" cm="1">
        <f t="array" ref="P4">[1]!ALPA4.Exerc</f>
        <v>0</v>
      </c>
      <c r="Q4" cm="1">
        <f t="array" ref="Q4">[1]!ALPA4.Expir</f>
        <v>0</v>
      </c>
    </row>
    <row r="5" spans="1:17" x14ac:dyDescent="0.25">
      <c r="A5" t="str" cm="1">
        <f t="array" ref="A5">[1]!ALSO3.Estado</f>
        <v>Normal</v>
      </c>
      <c r="B5" cm="1">
        <f t="array" ref="B5">[1]!ALSO3.PreTeo</f>
        <v>0</v>
      </c>
      <c r="C5" t="s">
        <v>70</v>
      </c>
      <c r="D5" t="e" cm="1" vm="1">
        <f t="array" aca="1" ref="D5" ca="1">[1]!ALSO3.Ult</f>
        <v>#VALUE!</v>
      </c>
      <c r="E5" t="e" cm="1" vm="1">
        <f t="array" aca="1" ref="E5" ca="1">[1]!ALSO3.VarPer</f>
        <v>#VALUE!</v>
      </c>
      <c r="F5" cm="1">
        <f t="array" ref="F5">[1]!ALSO3.Hora</f>
        <v>0.74997685185185192</v>
      </c>
      <c r="G5" t="e" cm="1" vm="1">
        <f t="array" aca="1" ref="G5" ca="1">[1]!ALSO3.VarSem</f>
        <v>#VALUE!</v>
      </c>
      <c r="H5" t="e" cm="1" vm="1">
        <f t="array" aca="1" ref="H5" ca="1">[1]!ALSO3.VarMes</f>
        <v>#VALUE!</v>
      </c>
      <c r="I5" t="e" cm="1" vm="1">
        <f t="array" aca="1" ref="I5" ca="1">[1]!ALSO3.Var12M</f>
        <v>#VALUE!</v>
      </c>
      <c r="J5" cm="1">
        <f t="array" ref="J5">[1]!ALSO3.Vol</f>
        <v>28470483</v>
      </c>
      <c r="K5" cm="1">
        <f t="array" ref="K5">[1]!ALSO3.QtdNeg</f>
        <v>7438</v>
      </c>
      <c r="L5" t="e" cm="1" vm="1">
        <f t="array" aca="1" ref="L5" ca="1">[1]!ALSO3.Fech</f>
        <v>#VALUE!</v>
      </c>
      <c r="M5" cm="1">
        <f t="array" ref="M5">[1]!ALSO3.IbovParticip</f>
        <v>0</v>
      </c>
      <c r="N5" t="str" cm="1">
        <f t="array" ref="N5">[1]!ALSO3.Desc</f>
        <v>ALIANSCSONAEON NM</v>
      </c>
      <c r="O5" t="e" cm="1" vm="1">
        <f t="array" aca="1" ref="O5" ca="1">[1]!ALSO3.VarAnual</f>
        <v>#VALUE!</v>
      </c>
      <c r="P5" cm="1">
        <f t="array" ref="P5">[1]!ALSO3.Exerc</f>
        <v>0</v>
      </c>
      <c r="Q5" cm="1">
        <f t="array" ref="Q5">[1]!ALSO3.Expir</f>
        <v>0</v>
      </c>
    </row>
    <row r="6" spans="1:17" x14ac:dyDescent="0.25">
      <c r="A6" t="str" cm="1">
        <f t="array" ref="A6">[1]!AMAR3.Estado</f>
        <v>Normal</v>
      </c>
      <c r="B6" cm="1">
        <f t="array" ref="B6">[1]!AMAR3.PreTeo</f>
        <v>0</v>
      </c>
      <c r="C6" t="s">
        <v>71</v>
      </c>
      <c r="D6" t="e" cm="1" vm="1">
        <f t="array" aca="1" ref="D6" ca="1">[1]!AMAR3.Ult</f>
        <v>#VALUE!</v>
      </c>
      <c r="E6" t="e" cm="1" vm="1">
        <f t="array" aca="1" ref="E6" ca="1">[1]!AMAR3.VarPer</f>
        <v>#VALUE!</v>
      </c>
      <c r="F6" cm="1">
        <f t="array" ref="F6">[1]!AMAR3.Hora</f>
        <v>0.74945601851851851</v>
      </c>
      <c r="G6" t="e" cm="1" vm="1">
        <f t="array" aca="1" ref="G6" ca="1">[1]!AMAR3.VarSem</f>
        <v>#VALUE!</v>
      </c>
      <c r="H6" t="e" cm="1" vm="1">
        <f t="array" aca="1" ref="H6" ca="1">[1]!AMAR3.VarMes</f>
        <v>#VALUE!</v>
      </c>
      <c r="I6" t="e" cm="1" vm="1">
        <f t="array" aca="1" ref="I6" ca="1">[1]!AMAR3.Var12M</f>
        <v>#VALUE!</v>
      </c>
      <c r="J6" cm="1">
        <f t="array" ref="J6">[1]!AMAR3.Vol</f>
        <v>8811853</v>
      </c>
      <c r="K6" cm="1">
        <f t="array" ref="K6">[1]!AMAR3.QtdNeg</f>
        <v>3210</v>
      </c>
      <c r="L6" t="e" cm="1" vm="1">
        <f t="array" aca="1" ref="L6" ca="1">[1]!AMAR3.Fech</f>
        <v>#VALUE!</v>
      </c>
      <c r="M6" cm="1">
        <f t="array" ref="M6">[1]!AMAR3.IbovParticip</f>
        <v>0</v>
      </c>
      <c r="N6" t="str" cm="1">
        <f t="array" ref="N6">[1]!AMAR3.Desc</f>
        <v>LOJAS MARISAON NM</v>
      </c>
      <c r="O6" t="e" cm="1" vm="1">
        <f t="array" aca="1" ref="O6" ca="1">[1]!AMAR3.VarAnual</f>
        <v>#VALUE!</v>
      </c>
      <c r="P6" cm="1">
        <f t="array" ref="P6">[1]!AMAR3.Exerc</f>
        <v>0</v>
      </c>
      <c r="Q6" cm="1">
        <f t="array" ref="Q6">[1]!AMAR3.Expir</f>
        <v>0</v>
      </c>
    </row>
    <row r="7" spans="1:17" x14ac:dyDescent="0.25">
      <c r="A7" t="str" cm="1">
        <f t="array" ref="A7">[1]!AMER3.Estado</f>
        <v>Normal</v>
      </c>
      <c r="B7" cm="1">
        <f t="array" ref="B7">[1]!AMER3.PreTeo</f>
        <v>0</v>
      </c>
      <c r="C7" t="s">
        <v>72</v>
      </c>
      <c r="D7" t="e" cm="1" vm="1">
        <f t="array" aca="1" ref="D7" ca="1">[1]!AMER3.Ult</f>
        <v>#VALUE!</v>
      </c>
      <c r="E7" t="e" cm="1" vm="1">
        <f t="array" aca="1" ref="E7" ca="1">[1]!AMER3.VarPer</f>
        <v>#VALUE!</v>
      </c>
      <c r="F7" cm="1">
        <f t="array" ref="F7">[1]!AMER3.Hora</f>
        <v>0.74958333333333327</v>
      </c>
      <c r="G7" t="e" cm="1" vm="1">
        <f t="array" aca="1" ref="G7" ca="1">[1]!AMER3.VarSem</f>
        <v>#VALUE!</v>
      </c>
      <c r="H7" t="e" cm="1" vm="1">
        <f t="array" aca="1" ref="H7" ca="1">[1]!AMER3.VarMes</f>
        <v>#VALUE!</v>
      </c>
      <c r="I7" t="e" cm="1" vm="1">
        <f t="array" aca="1" ref="I7" ca="1">[1]!AMER3.Var12M</f>
        <v>#VALUE!</v>
      </c>
      <c r="J7" cm="1">
        <f t="array" ref="J7">[1]!AMER3.Vol</f>
        <v>1091322739</v>
      </c>
      <c r="K7" cm="1">
        <f t="array" ref="K7">[1]!AMER3.QtdNeg</f>
        <v>75214</v>
      </c>
      <c r="L7" t="e" cm="1" vm="1">
        <f t="array" aca="1" ref="L7" ca="1">[1]!AMER3.Fech</f>
        <v>#VALUE!</v>
      </c>
      <c r="M7" t="e" cm="1" vm="1">
        <f t="array" aca="1" ref="M7" ca="1">[1]!AMER3.IbovParticip</f>
        <v>#VALUE!</v>
      </c>
      <c r="N7" t="str" cm="1">
        <f t="array" ref="N7">[1]!AMER3.Desc</f>
        <v>AMERICANAS ON NM</v>
      </c>
      <c r="O7" t="e" cm="1" vm="1">
        <f t="array" aca="1" ref="O7" ca="1">[1]!AMER3.VarAnual</f>
        <v>#VALUE!</v>
      </c>
      <c r="P7" cm="1">
        <f t="array" ref="P7">[1]!AMER3.Exerc</f>
        <v>0</v>
      </c>
      <c r="Q7" cm="1">
        <f t="array" ref="Q7">[1]!AMER3.Expir</f>
        <v>0</v>
      </c>
    </row>
    <row r="8" spans="1:17" x14ac:dyDescent="0.25">
      <c r="A8" t="str" cm="1">
        <f t="array" ref="A8">[1]!AMZO34.Estado</f>
        <v>Normal</v>
      </c>
      <c r="B8" cm="1">
        <f t="array" ref="B8">[1]!AMZO34.PreTeo</f>
        <v>0</v>
      </c>
      <c r="C8" t="s">
        <v>73</v>
      </c>
      <c r="D8" t="e" cm="1" vm="1">
        <f t="array" aca="1" ref="D8" ca="1">[1]!AMZO34.Ult</f>
        <v>#VALUE!</v>
      </c>
      <c r="E8" t="e" cm="1" vm="1">
        <f t="array" aca="1" ref="E8" ca="1">[1]!AMZO34.VarPer</f>
        <v>#VALUE!</v>
      </c>
      <c r="F8" cm="1">
        <f t="array" ref="F8">[1]!AMZO34.Hora</f>
        <v>0.7474884259259259</v>
      </c>
      <c r="G8" t="e" cm="1" vm="1">
        <f t="array" aca="1" ref="G8" ca="1">[1]!AMZO34.VarSem</f>
        <v>#VALUE!</v>
      </c>
      <c r="H8" t="e" cm="1" vm="1">
        <f t="array" aca="1" ref="H8" ca="1">[1]!AMZO34.VarMes</f>
        <v>#VALUE!</v>
      </c>
      <c r="I8" t="e" cm="1" vm="1">
        <f t="array" aca="1" ref="I8" ca="1">[1]!AMZO34.Var12M</f>
        <v>#VALUE!</v>
      </c>
      <c r="J8" cm="1">
        <f t="array" ref="J8">[1]!AMZO34.Vol</f>
        <v>22650781</v>
      </c>
      <c r="K8" cm="1">
        <f t="array" ref="K8">[1]!AMZO34.QtdNeg</f>
        <v>1898</v>
      </c>
      <c r="L8" t="e" cm="1" vm="1">
        <f t="array" aca="1" ref="L8" ca="1">[1]!AMZO34.Fech</f>
        <v>#VALUE!</v>
      </c>
      <c r="M8" cm="1">
        <f t="array" ref="M8">[1]!AMZO34.IbovParticip</f>
        <v>0</v>
      </c>
      <c r="N8" t="str" cm="1">
        <f t="array" ref="N8">[1]!AMZO34.Desc</f>
        <v>AMAZON DRN</v>
      </c>
      <c r="O8" t="e" cm="1" vm="1">
        <f t="array" aca="1" ref="O8" ca="1">[1]!AMZO34.VarAnual</f>
        <v>#VALUE!</v>
      </c>
      <c r="P8" cm="1">
        <f t="array" ref="P8">[1]!AMZO34.Exerc</f>
        <v>0</v>
      </c>
      <c r="Q8" cm="1">
        <f t="array" ref="Q8">[1]!AMZO34.Expir</f>
        <v>0</v>
      </c>
    </row>
    <row r="9" spans="1:17" x14ac:dyDescent="0.25">
      <c r="A9" t="str" cm="1">
        <f t="array" ref="A9">[1]!ANIM3.Estado</f>
        <v>Normal</v>
      </c>
      <c r="B9" cm="1">
        <f t="array" ref="B9">[1]!ANIM3.PreTeo</f>
        <v>0</v>
      </c>
      <c r="C9" t="s">
        <v>74</v>
      </c>
      <c r="D9" t="e" cm="1" vm="1">
        <f t="array" aca="1" ref="D9" ca="1">[1]!ANIM3.Ult</f>
        <v>#VALUE!</v>
      </c>
      <c r="E9" t="e" cm="1" vm="1">
        <f t="array" aca="1" ref="E9" ca="1">[1]!ANIM3.VarPer</f>
        <v>#VALUE!</v>
      </c>
      <c r="F9" cm="1">
        <f t="array" ref="F9">[1]!ANIM3.Hora</f>
        <v>0.74964120370370368</v>
      </c>
      <c r="G9" t="e" cm="1" vm="1">
        <f t="array" aca="1" ref="G9" ca="1">[1]!ANIM3.VarSem</f>
        <v>#VALUE!</v>
      </c>
      <c r="H9" t="e" cm="1" vm="1">
        <f t="array" aca="1" ref="H9" ca="1">[1]!ANIM3.VarMes</f>
        <v>#VALUE!</v>
      </c>
      <c r="I9" t="e" cm="1" vm="1">
        <f t="array" aca="1" ref="I9" ca="1">[1]!ANIM3.Var12M</f>
        <v>#VALUE!</v>
      </c>
      <c r="J9" cm="1">
        <f t="array" ref="J9">[1]!ANIM3.Vol</f>
        <v>26015716</v>
      </c>
      <c r="K9" cm="1">
        <f t="array" ref="K9">[1]!ANIM3.QtdNeg</f>
        <v>11681</v>
      </c>
      <c r="L9" t="e" cm="1" vm="1">
        <f t="array" aca="1" ref="L9" ca="1">[1]!ANIM3.Fech</f>
        <v>#VALUE!</v>
      </c>
      <c r="M9" cm="1">
        <f t="array" ref="M9">[1]!ANIM3.IbovParticip</f>
        <v>0</v>
      </c>
      <c r="N9" t="str" cm="1">
        <f t="array" ref="N9">[1]!ANIM3.Desc</f>
        <v>ANIMA ON NM</v>
      </c>
      <c r="O9" t="e" cm="1" vm="1">
        <f t="array" aca="1" ref="O9" ca="1">[1]!ANIM3.VarAnual</f>
        <v>#VALUE!</v>
      </c>
      <c r="P9" cm="1">
        <f t="array" ref="P9">[1]!ANIM3.Exerc</f>
        <v>0</v>
      </c>
      <c r="Q9" cm="1">
        <f t="array" ref="Q9">[1]!ANIM3.Expir</f>
        <v>0</v>
      </c>
    </row>
    <row r="10" spans="1:17" x14ac:dyDescent="0.25">
      <c r="A10" t="str" cm="1">
        <f t="array" ref="A10">[1]!ASAI3.Estado</f>
        <v>Normal</v>
      </c>
      <c r="B10" cm="1">
        <f t="array" ref="B10">[1]!ASAI3.PreTeo</f>
        <v>0</v>
      </c>
      <c r="C10" t="s">
        <v>75</v>
      </c>
      <c r="D10" t="e" cm="1" vm="1">
        <f t="array" aca="1" ref="D10" ca="1">[1]!ASAI3.Ult</f>
        <v>#VALUE!</v>
      </c>
      <c r="E10" t="e" cm="1" vm="1">
        <f t="array" aca="1" ref="E10" ca="1">[1]!ASAI3.VarPer</f>
        <v>#VALUE!</v>
      </c>
      <c r="F10" cm="1">
        <f t="array" ref="F10">[1]!ASAI3.Hora</f>
        <v>0.74315972222222226</v>
      </c>
      <c r="G10" t="e" cm="1" vm="1">
        <f t="array" aca="1" ref="G10" ca="1">[1]!ASAI3.VarSem</f>
        <v>#VALUE!</v>
      </c>
      <c r="H10" t="e" cm="1" vm="1">
        <f t="array" aca="1" ref="H10" ca="1">[1]!ASAI3.VarMes</f>
        <v>#VALUE!</v>
      </c>
      <c r="I10" t="e" cm="1" vm="1">
        <f t="array" aca="1" ref="I10" ca="1">[1]!ASAI3.Var12M</f>
        <v>#VALUE!</v>
      </c>
      <c r="J10" cm="1">
        <f t="array" ref="J10">[1]!ASAI3.Vol</f>
        <v>178805682</v>
      </c>
      <c r="K10" cm="1">
        <f t="array" ref="K10">[1]!ASAI3.QtdNeg</f>
        <v>19605</v>
      </c>
      <c r="L10" t="e" cm="1" vm="1">
        <f t="array" aca="1" ref="L10" ca="1">[1]!ASAI3.Fech</f>
        <v>#VALUE!</v>
      </c>
      <c r="M10" t="e" cm="1" vm="1">
        <f t="array" aca="1" ref="M10" ca="1">[1]!ASAI3.IbovParticip</f>
        <v>#VALUE!</v>
      </c>
      <c r="N10" t="str" cm="1">
        <f t="array" ref="N10">[1]!ASAI3.Desc</f>
        <v>ASSAI ON NM</v>
      </c>
      <c r="O10" t="e" cm="1" vm="1">
        <f t="array" aca="1" ref="O10" ca="1">[1]!ASAI3.VarAnual</f>
        <v>#VALUE!</v>
      </c>
      <c r="P10" cm="1">
        <f t="array" ref="P10">[1]!ASAI3.Exerc</f>
        <v>0</v>
      </c>
      <c r="Q10" cm="1">
        <f t="array" ref="Q10">[1]!ASAI3.Expir</f>
        <v>0</v>
      </c>
    </row>
    <row r="11" spans="1:17" x14ac:dyDescent="0.25">
      <c r="A11" t="str" cm="1">
        <f t="array" ref="A11">[1]!AZUL4.Estado</f>
        <v>Normal</v>
      </c>
      <c r="B11" cm="1">
        <f t="array" ref="B11">[1]!AZUL4.PreTeo</f>
        <v>0</v>
      </c>
      <c r="C11" t="s">
        <v>76</v>
      </c>
      <c r="D11" t="e" cm="1" vm="1">
        <f t="array" aca="1" ref="D11" ca="1">[1]!AZUL4.Ult</f>
        <v>#VALUE!</v>
      </c>
      <c r="E11" t="e" cm="1" vm="1">
        <f t="array" aca="1" ref="E11" ca="1">[1]!AZUL4.VarPer</f>
        <v>#VALUE!</v>
      </c>
      <c r="F11" cm="1">
        <f t="array" ref="F11">[1]!AZUL4.Hora</f>
        <v>0.7496990740740741</v>
      </c>
      <c r="G11" t="e" cm="1" vm="1">
        <f t="array" aca="1" ref="G11" ca="1">[1]!AZUL4.VarSem</f>
        <v>#VALUE!</v>
      </c>
      <c r="H11" t="e" cm="1" vm="1">
        <f t="array" aca="1" ref="H11" ca="1">[1]!AZUL4.VarMes</f>
        <v>#VALUE!</v>
      </c>
      <c r="I11" t="e" cm="1" vm="1">
        <f t="array" aca="1" ref="I11" ca="1">[1]!AZUL4.Var12M</f>
        <v>#VALUE!</v>
      </c>
      <c r="J11" cm="1">
        <f t="array" ref="J11">[1]!AZUL4.Vol</f>
        <v>99985287</v>
      </c>
      <c r="K11" cm="1">
        <f t="array" ref="K11">[1]!AZUL4.QtdNeg</f>
        <v>14520</v>
      </c>
      <c r="L11" t="e" cm="1" vm="1">
        <f t="array" aca="1" ref="L11" ca="1">[1]!AZUL4.Fech</f>
        <v>#VALUE!</v>
      </c>
      <c r="M11" t="e" cm="1" vm="1">
        <f t="array" aca="1" ref="M11" ca="1">[1]!AZUL4.IbovParticip</f>
        <v>#VALUE!</v>
      </c>
      <c r="N11" t="str" cm="1">
        <f t="array" ref="N11">[1]!AZUL4.Desc</f>
        <v>AZUL PN N2</v>
      </c>
      <c r="O11" t="e" cm="1" vm="1">
        <f t="array" aca="1" ref="O11" ca="1">[1]!AZUL4.VarAnual</f>
        <v>#VALUE!</v>
      </c>
      <c r="P11" cm="1">
        <f t="array" ref="P11">[1]!AZUL4.Exerc</f>
        <v>0</v>
      </c>
      <c r="Q11" cm="1">
        <f t="array" ref="Q11">[1]!AZUL4.Expir</f>
        <v>0</v>
      </c>
    </row>
    <row r="12" spans="1:17" x14ac:dyDescent="0.25">
      <c r="A12" t="str" cm="1">
        <f t="array" ref="A12">[1]!B3SA3.Estado</f>
        <v>Normal</v>
      </c>
      <c r="B12" cm="1">
        <f t="array" ref="B12">[1]!B3SA3.PreTeo</f>
        <v>0</v>
      </c>
      <c r="C12" t="s">
        <v>77</v>
      </c>
      <c r="D12" t="e" cm="1" vm="1">
        <f t="array" aca="1" ref="D12" ca="1">[1]!B3SA3.Ult</f>
        <v>#VALUE!</v>
      </c>
      <c r="E12" t="e" cm="1" vm="1">
        <f t="array" aca="1" ref="E12" ca="1">[1]!B3SA3.VarPer</f>
        <v>#VALUE!</v>
      </c>
      <c r="F12" cm="1">
        <f t="array" ref="F12">[1]!B3SA3.Hora</f>
        <v>0.74995370370370373</v>
      </c>
      <c r="G12" t="e" cm="1" vm="1">
        <f t="array" aca="1" ref="G12" ca="1">[1]!B3SA3.VarSem</f>
        <v>#VALUE!</v>
      </c>
      <c r="H12" t="e" cm="1" vm="1">
        <f t="array" aca="1" ref="H12" ca="1">[1]!B3SA3.VarMes</f>
        <v>#VALUE!</v>
      </c>
      <c r="I12" t="e" cm="1" vm="1">
        <f t="array" aca="1" ref="I12" ca="1">[1]!B3SA3.Var12M</f>
        <v>#VALUE!</v>
      </c>
      <c r="J12" cm="1">
        <f t="array" ref="J12">[1]!B3SA3.Vol</f>
        <v>357962404</v>
      </c>
      <c r="K12" cm="1">
        <f t="array" ref="K12">[1]!B3SA3.QtdNeg</f>
        <v>42045</v>
      </c>
      <c r="L12" t="e" cm="1" vm="1">
        <f t="array" aca="1" ref="L12" ca="1">[1]!B3SA3.Fech</f>
        <v>#VALUE!</v>
      </c>
      <c r="M12" t="e" cm="1" vm="1">
        <f t="array" aca="1" ref="M12" ca="1">[1]!B3SA3.IbovParticip</f>
        <v>#VALUE!</v>
      </c>
      <c r="N12" t="str" cm="1">
        <f t="array" ref="N12">[1]!B3SA3.Desc</f>
        <v>B3 ON NM</v>
      </c>
      <c r="O12" t="e" cm="1" vm="1">
        <f t="array" aca="1" ref="O12" ca="1">[1]!B3SA3.VarAnual</f>
        <v>#VALUE!</v>
      </c>
      <c r="P12" cm="1">
        <f t="array" ref="P12">[1]!B3SA3.Exerc</f>
        <v>0</v>
      </c>
      <c r="Q12" cm="1">
        <f t="array" ref="Q12">[1]!B3SA3.Expir</f>
        <v>0</v>
      </c>
    </row>
    <row r="13" spans="1:17" x14ac:dyDescent="0.25">
      <c r="A13" t="str" cm="1">
        <f t="array" ref="A13">[1]!BBAS3.Estado</f>
        <v>Normal</v>
      </c>
      <c r="B13" cm="1">
        <f t="array" ref="B13">[1]!BBAS3.PreTeo</f>
        <v>0</v>
      </c>
      <c r="C13" t="s">
        <v>1</v>
      </c>
      <c r="D13" t="e" cm="1" vm="1">
        <f t="array" aca="1" ref="D13" ca="1">[1]!BBAS3.Ult</f>
        <v>#VALUE!</v>
      </c>
      <c r="E13" t="e" cm="1" vm="1">
        <f t="array" aca="1" ref="E13" ca="1">[1]!BBAS3.VarPer</f>
        <v>#VALUE!</v>
      </c>
      <c r="F13" cm="1">
        <f t="array" ref="F13">[1]!BBAS3.Hora</f>
        <v>0.74998842592592585</v>
      </c>
      <c r="G13" t="e" cm="1" vm="1">
        <f t="array" aca="1" ref="G13" ca="1">[1]!BBAS3.VarSem</f>
        <v>#VALUE!</v>
      </c>
      <c r="H13" t="e" cm="1" vm="1">
        <f t="array" aca="1" ref="H13" ca="1">[1]!BBAS3.VarMes</f>
        <v>#VALUE!</v>
      </c>
      <c r="I13" t="e" cm="1" vm="1">
        <f t="array" aca="1" ref="I13" ca="1">[1]!BBAS3.Var12M</f>
        <v>#VALUE!</v>
      </c>
      <c r="J13" cm="1">
        <f t="array" ref="J13">[1]!BBAS3.Vol</f>
        <v>1095860706</v>
      </c>
      <c r="K13" cm="1">
        <f t="array" ref="K13">[1]!BBAS3.QtdNeg</f>
        <v>46902</v>
      </c>
      <c r="L13" t="e" cm="1" vm="1">
        <f t="array" aca="1" ref="L13" ca="1">[1]!BBAS3.Fech</f>
        <v>#VALUE!</v>
      </c>
      <c r="M13" t="e" cm="1" vm="1">
        <f t="array" aca="1" ref="M13" ca="1">[1]!BBAS3.IbovParticip</f>
        <v>#VALUE!</v>
      </c>
      <c r="N13" t="str" cm="1">
        <f t="array" ref="N13">[1]!BBAS3.Desc</f>
        <v>BRASIL ON NM</v>
      </c>
      <c r="O13" t="e" cm="1" vm="1">
        <f t="array" aca="1" ref="O13" ca="1">[1]!BBAS3.VarAnual</f>
        <v>#VALUE!</v>
      </c>
      <c r="P13" cm="1">
        <f t="array" ref="P13">[1]!BBAS3.Exerc</f>
        <v>0</v>
      </c>
      <c r="Q13" cm="1">
        <f t="array" ref="Q13">[1]!BBAS3.Expir</f>
        <v>0</v>
      </c>
    </row>
    <row r="14" spans="1:17" x14ac:dyDescent="0.25">
      <c r="A14" t="str" cm="1">
        <f t="array" ref="A14">[1]!BBASU382.Estado</f>
        <v>Normal</v>
      </c>
      <c r="B14" cm="1">
        <f t="array" ref="B14">[1]!BBASU382.PreTeo</f>
        <v>0</v>
      </c>
      <c r="C14" t="s">
        <v>78</v>
      </c>
      <c r="D14" t="e" cm="1" vm="1">
        <f t="array" aca="1" ref="D14" ca="1">[1]!BBASU382.Ult</f>
        <v>#VALUE!</v>
      </c>
      <c r="E14" t="e" cm="1" vm="1">
        <f t="array" aca="1" ref="E14" ca="1">[1]!BBASU382.VarPer</f>
        <v>#VALUE!</v>
      </c>
      <c r="F14" cm="1">
        <f t="array" ref="F14">[1]!BBASU382.Hora</f>
        <v>0.70483796296296297</v>
      </c>
      <c r="G14" t="e" cm="1" vm="1">
        <f t="array" aca="1" ref="G14" ca="1">[1]!BBASU382.VarSem</f>
        <v>#VALUE!</v>
      </c>
      <c r="H14" t="e" cm="1" vm="1">
        <f t="array" aca="1" ref="H14" ca="1">[1]!BBASU382.VarMes</f>
        <v>#VALUE!</v>
      </c>
      <c r="I14" t="e" cm="1" vm="1">
        <f t="array" aca="1" ref="I14" ca="1">[1]!BBASU382.Var12M</f>
        <v>#VALUE!</v>
      </c>
      <c r="J14" cm="1">
        <f t="array" ref="J14">[1]!BBASU382.Vol</f>
        <v>196567</v>
      </c>
      <c r="K14" cm="1">
        <f t="array" ref="K14">[1]!BBASU382.QtdNeg</f>
        <v>113</v>
      </c>
      <c r="L14" t="e" cm="1" vm="1">
        <f t="array" aca="1" ref="L14" ca="1">[1]!BBASU382.Fech</f>
        <v>#VALUE!</v>
      </c>
      <c r="M14" cm="1">
        <f t="array" ref="M14">[1]!BBASU382.IbovParticip</f>
        <v>0</v>
      </c>
      <c r="N14" t="e" cm="1" vm="1">
        <f t="array" aca="1" ref="N14" ca="1">[1]!BBASU382.Desc</f>
        <v>#VALUE!</v>
      </c>
      <c r="O14" t="e" cm="1" vm="1">
        <f t="array" aca="1" ref="O14" ca="1">[1]!BBASU382.VarAnual</f>
        <v>#VALUE!</v>
      </c>
      <c r="P14" t="e" cm="1" vm="1">
        <f t="array" aca="1" ref="P14" ca="1">[1]!BBASU382.Exerc</f>
        <v>#VALUE!</v>
      </c>
      <c r="Q14" cm="1">
        <f t="array" ref="Q14">[1]!BBASU382.Expir</f>
        <v>44820</v>
      </c>
    </row>
    <row r="15" spans="1:17" x14ac:dyDescent="0.25">
      <c r="A15" t="str" cm="1">
        <f t="array" ref="A15">[1]!BBDC3.Estado</f>
        <v>Normal</v>
      </c>
      <c r="B15" cm="1">
        <f t="array" ref="B15">[1]!BBDC3.PreTeo</f>
        <v>0</v>
      </c>
      <c r="C15" t="s">
        <v>79</v>
      </c>
      <c r="D15" t="e" cm="1" vm="1">
        <f t="array" aca="1" ref="D15" ca="1">[1]!BBDC3.Ult</f>
        <v>#VALUE!</v>
      </c>
      <c r="E15" t="e" cm="1" vm="1">
        <f t="array" aca="1" ref="E15" ca="1">[1]!BBDC3.VarPer</f>
        <v>#VALUE!</v>
      </c>
      <c r="F15" cm="1">
        <f t="array" ref="F15">[1]!BBDC3.Hora</f>
        <v>0.74468749999999995</v>
      </c>
      <c r="G15" t="e" cm="1" vm="1">
        <f t="array" aca="1" ref="G15" ca="1">[1]!BBDC3.VarSem</f>
        <v>#VALUE!</v>
      </c>
      <c r="H15" t="e" cm="1" vm="1">
        <f t="array" aca="1" ref="H15" ca="1">[1]!BBDC3.VarMes</f>
        <v>#VALUE!</v>
      </c>
      <c r="I15" t="e" cm="1" vm="1">
        <f t="array" aca="1" ref="I15" ca="1">[1]!BBDC3.Var12M</f>
        <v>#VALUE!</v>
      </c>
      <c r="J15" cm="1">
        <f t="array" ref="J15">[1]!BBDC3.Vol</f>
        <v>66423539</v>
      </c>
      <c r="K15" cm="1">
        <f t="array" ref="K15">[1]!BBDC3.QtdNeg</f>
        <v>8163</v>
      </c>
      <c r="L15" t="e" cm="1" vm="1">
        <f t="array" aca="1" ref="L15" ca="1">[1]!BBDC3.Fech</f>
        <v>#VALUE!</v>
      </c>
      <c r="M15" t="e" cm="1" vm="1">
        <f t="array" aca="1" ref="M15" ca="1">[1]!BBDC3.IbovParticip</f>
        <v>#VALUE!</v>
      </c>
      <c r="N15" t="str" cm="1">
        <f t="array" ref="N15">[1]!BBDC3.Desc</f>
        <v>BRADESCO ON N1</v>
      </c>
      <c r="O15" t="e" cm="1" vm="1">
        <f t="array" aca="1" ref="O15" ca="1">[1]!BBDC3.VarAnual</f>
        <v>#VALUE!</v>
      </c>
      <c r="P15" cm="1">
        <f t="array" ref="P15">[1]!BBDC3.Exerc</f>
        <v>0</v>
      </c>
      <c r="Q15" cm="1">
        <f t="array" ref="Q15">[1]!BBDC3.Expir</f>
        <v>0</v>
      </c>
    </row>
    <row r="16" spans="1:17" x14ac:dyDescent="0.25">
      <c r="A16" t="str" cm="1">
        <f t="array" ref="A16">[1]!BBDC4.Estado</f>
        <v>Normal</v>
      </c>
      <c r="B16" cm="1">
        <f t="array" ref="B16">[1]!BBDC4.PreTeo</f>
        <v>0</v>
      </c>
      <c r="C16" t="s">
        <v>80</v>
      </c>
      <c r="D16" t="e" cm="1" vm="1">
        <f t="array" aca="1" ref="D16" ca="1">[1]!BBDC4.Ult</f>
        <v>#VALUE!</v>
      </c>
      <c r="E16" t="e" cm="1" vm="1">
        <f t="array" aca="1" ref="E16" ca="1">[1]!BBDC4.VarPer</f>
        <v>#VALUE!</v>
      </c>
      <c r="F16" cm="1">
        <f t="array" ref="F16">[1]!BBDC4.Hora</f>
        <v>0.74958333333333327</v>
      </c>
      <c r="G16" t="e" cm="1" vm="1">
        <f t="array" aca="1" ref="G16" ca="1">[1]!BBDC4.VarSem</f>
        <v>#VALUE!</v>
      </c>
      <c r="H16" t="e" cm="1" vm="1">
        <f t="array" aca="1" ref="H16" ca="1">[1]!BBDC4.VarMes</f>
        <v>#VALUE!</v>
      </c>
      <c r="I16" t="e" cm="1" vm="1">
        <f t="array" aca="1" ref="I16" ca="1">[1]!BBDC4.Var12M</f>
        <v>#VALUE!</v>
      </c>
      <c r="J16" cm="1">
        <f t="array" ref="J16">[1]!BBDC4.Vol</f>
        <v>301091176</v>
      </c>
      <c r="K16" cm="1">
        <f t="array" ref="K16">[1]!BBDC4.QtdNeg</f>
        <v>23316</v>
      </c>
      <c r="L16" t="e" cm="1" vm="1">
        <f t="array" aca="1" ref="L16" ca="1">[1]!BBDC4.Fech</f>
        <v>#VALUE!</v>
      </c>
      <c r="M16" t="e" cm="1" vm="1">
        <f t="array" aca="1" ref="M16" ca="1">[1]!BBDC4.IbovParticip</f>
        <v>#VALUE!</v>
      </c>
      <c r="N16" t="str" cm="1">
        <f t="array" ref="N16">[1]!BBDC4.Desc</f>
        <v>BRADESCO PN N1</v>
      </c>
      <c r="O16" t="e" cm="1" vm="1">
        <f t="array" aca="1" ref="O16" ca="1">[1]!BBDC4.VarAnual</f>
        <v>#VALUE!</v>
      </c>
      <c r="P16" cm="1">
        <f t="array" ref="P16">[1]!BBDC4.Exerc</f>
        <v>0</v>
      </c>
      <c r="Q16" cm="1">
        <f t="array" ref="Q16">[1]!BBDC4.Expir</f>
        <v>0</v>
      </c>
    </row>
    <row r="17" spans="1:17" x14ac:dyDescent="0.25">
      <c r="A17" t="str" cm="1">
        <f t="array" ref="A17">[1]!BBSE3.Estado</f>
        <v>Normal</v>
      </c>
      <c r="B17" cm="1">
        <f t="array" ref="B17">[1]!BBSE3.PreTeo</f>
        <v>0</v>
      </c>
      <c r="C17" t="s">
        <v>81</v>
      </c>
      <c r="D17" t="e" cm="1" vm="1">
        <f t="array" aca="1" ref="D17" ca="1">[1]!BBSE3.Ult</f>
        <v>#VALUE!</v>
      </c>
      <c r="E17" t="e" cm="1" vm="1">
        <f t="array" aca="1" ref="E17" ca="1">[1]!BBSE3.VarPer</f>
        <v>#VALUE!</v>
      </c>
      <c r="F17" cm="1">
        <f t="array" ref="F17">[1]!BBSE3.Hora</f>
        <v>0.74984953703703694</v>
      </c>
      <c r="G17" t="e" cm="1" vm="1">
        <f t="array" aca="1" ref="G17" ca="1">[1]!BBSE3.VarSem</f>
        <v>#VALUE!</v>
      </c>
      <c r="H17" cm="1">
        <f t="array" ref="H17">[1]!BBSE3.VarMes</f>
        <v>2</v>
      </c>
      <c r="I17" t="e" cm="1" vm="1">
        <f t="array" aca="1" ref="I17" ca="1">[1]!BBSE3.Var12M</f>
        <v>#VALUE!</v>
      </c>
      <c r="J17" cm="1">
        <f t="array" ref="J17">[1]!BBSE3.Vol</f>
        <v>79297509</v>
      </c>
      <c r="K17" cm="1">
        <f t="array" ref="K17">[1]!BBSE3.QtdNeg</f>
        <v>9651</v>
      </c>
      <c r="L17" t="e" cm="1" vm="1">
        <f t="array" aca="1" ref="L17" ca="1">[1]!BBSE3.Fech</f>
        <v>#VALUE!</v>
      </c>
      <c r="M17" t="e" cm="1" vm="1">
        <f t="array" aca="1" ref="M17" ca="1">[1]!BBSE3.IbovParticip</f>
        <v>#VALUE!</v>
      </c>
      <c r="N17" t="str" cm="1">
        <f t="array" ref="N17">[1]!BBSE3.Desc</f>
        <v>BBSEGURIDADEON ED NM</v>
      </c>
      <c r="O17" t="e" cm="1" vm="1">
        <f t="array" aca="1" ref="O17" ca="1">[1]!BBSE3.VarAnual</f>
        <v>#VALUE!</v>
      </c>
      <c r="P17" cm="1">
        <f t="array" ref="P17">[1]!BBSE3.Exerc</f>
        <v>0</v>
      </c>
      <c r="Q17" cm="1">
        <f t="array" ref="Q17">[1]!BBSE3.Expir</f>
        <v>0</v>
      </c>
    </row>
    <row r="18" spans="1:17" x14ac:dyDescent="0.25">
      <c r="A18" t="str" cm="1">
        <f t="array" ref="A18">[1]!BEEF3.Estado</f>
        <v>Normal</v>
      </c>
      <c r="B18" cm="1">
        <f t="array" ref="B18">[1]!BEEF3.PreTeo</f>
        <v>0</v>
      </c>
      <c r="C18" t="s">
        <v>82</v>
      </c>
      <c r="D18" t="e" cm="1" vm="1">
        <f t="array" aca="1" ref="D18" ca="1">[1]!BEEF3.Ult</f>
        <v>#VALUE!</v>
      </c>
      <c r="E18" t="e" cm="1" vm="1">
        <f t="array" aca="1" ref="E18" ca="1">[1]!BEEF3.VarPer</f>
        <v>#VALUE!</v>
      </c>
      <c r="F18" cm="1">
        <f t="array" ref="F18">[1]!BEEF3.Hora</f>
        <v>0.74987268518518524</v>
      </c>
      <c r="G18" t="e" cm="1" vm="1">
        <f t="array" aca="1" ref="G18" ca="1">[1]!BEEF3.VarSem</f>
        <v>#VALUE!</v>
      </c>
      <c r="H18" t="e" cm="1" vm="1">
        <f t="array" aca="1" ref="H18" ca="1">[1]!BEEF3.VarMes</f>
        <v>#VALUE!</v>
      </c>
      <c r="I18" t="e" cm="1" vm="1">
        <f t="array" aca="1" ref="I18" ca="1">[1]!BEEF3.Var12M</f>
        <v>#VALUE!</v>
      </c>
      <c r="J18" cm="1">
        <f t="array" ref="J18">[1]!BEEF3.Vol</f>
        <v>98722019</v>
      </c>
      <c r="K18" cm="1">
        <f t="array" ref="K18">[1]!BEEF3.QtdNeg</f>
        <v>15566</v>
      </c>
      <c r="L18" t="e" cm="1" vm="1">
        <f t="array" aca="1" ref="L18" ca="1">[1]!BEEF3.Fech</f>
        <v>#VALUE!</v>
      </c>
      <c r="M18" t="e" cm="1" vm="1">
        <f t="array" aca="1" ref="M18" ca="1">[1]!BEEF3.IbovParticip</f>
        <v>#VALUE!</v>
      </c>
      <c r="N18" t="str" cm="1">
        <f t="array" ref="N18">[1]!BEEF3.Desc</f>
        <v>MINERVA ON ED NM</v>
      </c>
      <c r="O18" t="e" cm="1" vm="1">
        <f t="array" aca="1" ref="O18" ca="1">[1]!BEEF3.VarAnual</f>
        <v>#VALUE!</v>
      </c>
      <c r="P18" cm="1">
        <f t="array" ref="P18">[1]!BEEF3.Exerc</f>
        <v>0</v>
      </c>
      <c r="Q18" cm="1">
        <f t="array" ref="Q18">[1]!BEEF3.Expir</f>
        <v>0</v>
      </c>
    </row>
    <row r="19" spans="1:17" x14ac:dyDescent="0.25">
      <c r="A19" t="str" cm="1">
        <f t="array" ref="A19">[1]!BMGB4.Estado</f>
        <v>Normal</v>
      </c>
      <c r="B19" cm="1">
        <f t="array" ref="B19">[1]!BMGB4.PreTeo</f>
        <v>0</v>
      </c>
      <c r="C19" t="s">
        <v>83</v>
      </c>
      <c r="D19" t="e" cm="1" vm="1">
        <f t="array" aca="1" ref="D19" ca="1">[1]!BMGB4.Ult</f>
        <v>#VALUE!</v>
      </c>
      <c r="E19" t="e" cm="1" vm="1">
        <f t="array" aca="1" ref="E19" ca="1">[1]!BMGB4.VarPer</f>
        <v>#VALUE!</v>
      </c>
      <c r="F19" cm="1">
        <f t="array" ref="F19">[1]!BMGB4.Hora</f>
        <v>0.74997685185185192</v>
      </c>
      <c r="G19" t="e" cm="1" vm="1">
        <f t="array" aca="1" ref="G19" ca="1">[1]!BMGB4.VarSem</f>
        <v>#VALUE!</v>
      </c>
      <c r="H19" t="e" cm="1" vm="1">
        <f t="array" aca="1" ref="H19" ca="1">[1]!BMGB4.VarMes</f>
        <v>#VALUE!</v>
      </c>
      <c r="I19" t="e" cm="1" vm="1">
        <f t="array" aca="1" ref="I19" ca="1">[1]!BMGB4.Var12M</f>
        <v>#VALUE!</v>
      </c>
      <c r="J19" cm="1">
        <f t="array" ref="J19">[1]!BMGB4.Vol</f>
        <v>2487555</v>
      </c>
      <c r="K19" cm="1">
        <f t="array" ref="K19">[1]!BMGB4.QtdNeg</f>
        <v>2137</v>
      </c>
      <c r="L19" t="e" cm="1" vm="1">
        <f t="array" aca="1" ref="L19" ca="1">[1]!BMGB4.Fech</f>
        <v>#VALUE!</v>
      </c>
      <c r="M19" cm="1">
        <f t="array" ref="M19">[1]!BMGB4.IbovParticip</f>
        <v>0</v>
      </c>
      <c r="N19" t="str" cm="1">
        <f t="array" ref="N19">[1]!BMGB4.Desc</f>
        <v>BANCO BMG PN N1</v>
      </c>
      <c r="O19" t="e" cm="1" vm="1">
        <f t="array" aca="1" ref="O19" ca="1">[1]!BMGB4.VarAnual</f>
        <v>#VALUE!</v>
      </c>
      <c r="P19" cm="1">
        <f t="array" ref="P19">[1]!BMGB4.Exerc</f>
        <v>0</v>
      </c>
      <c r="Q19" cm="1">
        <f t="array" ref="Q19">[1]!BMGB4.Expir</f>
        <v>0</v>
      </c>
    </row>
    <row r="20" spans="1:17" x14ac:dyDescent="0.25">
      <c r="A20" t="str" cm="1">
        <f t="array" ref="A20">[1]!BPAC11.Estado</f>
        <v>Normal</v>
      </c>
      <c r="B20" cm="1">
        <f t="array" ref="B20">[1]!BPAC11.PreTeo</f>
        <v>0</v>
      </c>
      <c r="C20" t="s">
        <v>4</v>
      </c>
      <c r="D20" t="e" cm="1" vm="1">
        <f t="array" aca="1" ref="D20" ca="1">[1]!BPAC11.Ult</f>
        <v>#VALUE!</v>
      </c>
      <c r="E20" t="e" cm="1" vm="1">
        <f t="array" aca="1" ref="E20" ca="1">[1]!BPAC11.VarPer</f>
        <v>#VALUE!</v>
      </c>
      <c r="F20" cm="1">
        <f t="array" ref="F20">[1]!BPAC11.Hora</f>
        <v>0.74805555555555558</v>
      </c>
      <c r="G20" t="e" cm="1" vm="1">
        <f t="array" aca="1" ref="G20" ca="1">[1]!BPAC11.VarSem</f>
        <v>#VALUE!</v>
      </c>
      <c r="H20" t="e" cm="1" vm="1">
        <f t="array" aca="1" ref="H20" ca="1">[1]!BPAC11.VarMes</f>
        <v>#VALUE!</v>
      </c>
      <c r="I20" t="e" cm="1" vm="1">
        <f t="array" aca="1" ref="I20" ca="1">[1]!BPAC11.Var12M</f>
        <v>#VALUE!</v>
      </c>
      <c r="J20" cm="1">
        <f t="array" ref="J20">[1]!BPAC11.Vol</f>
        <v>148186175</v>
      </c>
      <c r="K20" cm="1">
        <f t="array" ref="K20">[1]!BPAC11.QtdNeg</f>
        <v>16098</v>
      </c>
      <c r="L20" t="e" cm="1" vm="1">
        <f t="array" aca="1" ref="L20" ca="1">[1]!BPAC11.Fech</f>
        <v>#VALUE!</v>
      </c>
      <c r="M20" t="e" cm="1" vm="1">
        <f t="array" aca="1" ref="M20" ca="1">[1]!BPAC11.IbovParticip</f>
        <v>#VALUE!</v>
      </c>
      <c r="N20" t="str" cm="1">
        <f t="array" ref="N20">[1]!BPAC11.Desc</f>
        <v>BTGP BANCO UNT N2</v>
      </c>
      <c r="O20" t="e" cm="1" vm="1">
        <f t="array" aca="1" ref="O20" ca="1">[1]!BPAC11.VarAnual</f>
        <v>#VALUE!</v>
      </c>
      <c r="P20" cm="1">
        <f t="array" ref="P20">[1]!BPAC11.Exerc</f>
        <v>0</v>
      </c>
      <c r="Q20" cm="1">
        <f t="array" ref="Q20">[1]!BPAC11.Expir</f>
        <v>0</v>
      </c>
    </row>
    <row r="21" spans="1:17" x14ac:dyDescent="0.25">
      <c r="A21" t="str" cm="1">
        <f t="array" ref="A21">[1]!BPAN4.Estado</f>
        <v>Normal</v>
      </c>
      <c r="B21" cm="1">
        <f t="array" ref="B21">[1]!BPAN4.PreTeo</f>
        <v>0</v>
      </c>
      <c r="C21" t="s">
        <v>5</v>
      </c>
      <c r="D21" t="e" cm="1" vm="1">
        <f t="array" aca="1" ref="D21" ca="1">[1]!BPAN4.Ult</f>
        <v>#VALUE!</v>
      </c>
      <c r="E21" t="e" cm="1" vm="1">
        <f t="array" aca="1" ref="E21" ca="1">[1]!BPAN4.VarPer</f>
        <v>#VALUE!</v>
      </c>
      <c r="F21" cm="1">
        <f t="array" ref="F21">[1]!BPAN4.Hora</f>
        <v>0.74677083333333327</v>
      </c>
      <c r="G21" t="e" cm="1" vm="1">
        <f t="array" aca="1" ref="G21" ca="1">[1]!BPAN4.VarSem</f>
        <v>#VALUE!</v>
      </c>
      <c r="H21" t="e" cm="1" vm="1">
        <f t="array" aca="1" ref="H21" ca="1">[1]!BPAN4.VarMes</f>
        <v>#VALUE!</v>
      </c>
      <c r="I21" t="e" cm="1" vm="1">
        <f t="array" aca="1" ref="I21" ca="1">[1]!BPAN4.Var12M</f>
        <v>#VALUE!</v>
      </c>
      <c r="J21" cm="1">
        <f t="array" ref="J21">[1]!BPAN4.Vol</f>
        <v>27408392</v>
      </c>
      <c r="K21" cm="1">
        <f t="array" ref="K21">[1]!BPAN4.QtdNeg</f>
        <v>7373</v>
      </c>
      <c r="L21" t="e" cm="1" vm="1">
        <f t="array" aca="1" ref="L21" ca="1">[1]!BPAN4.Fech</f>
        <v>#VALUE!</v>
      </c>
      <c r="M21" t="e" cm="1" vm="1">
        <f t="array" aca="1" ref="M21" ca="1">[1]!BPAN4.IbovParticip</f>
        <v>#VALUE!</v>
      </c>
      <c r="N21" t="str" cm="1">
        <f t="array" ref="N21">[1]!BPAN4.Desc</f>
        <v>BANCO PAN PN N1</v>
      </c>
      <c r="O21" t="e" cm="1" vm="1">
        <f t="array" aca="1" ref="O21" ca="1">[1]!BPAN4.VarAnual</f>
        <v>#VALUE!</v>
      </c>
      <c r="P21" cm="1">
        <f t="array" ref="P21">[1]!BPAN4.Exerc</f>
        <v>0</v>
      </c>
      <c r="Q21" cm="1">
        <f t="array" ref="Q21">[1]!BPAN4.Expir</f>
        <v>0</v>
      </c>
    </row>
    <row r="22" spans="1:17" x14ac:dyDescent="0.25">
      <c r="A22" t="str" cm="1">
        <f t="array" ref="A22">[1]!BRAP4.Estado</f>
        <v>Normal</v>
      </c>
      <c r="B22" cm="1">
        <f t="array" ref="B22">[1]!BRAP4.PreTeo</f>
        <v>0</v>
      </c>
      <c r="C22" t="s">
        <v>84</v>
      </c>
      <c r="D22" t="e" cm="1" vm="1">
        <f t="array" aca="1" ref="D22" ca="1">[1]!BRAP4.Ult</f>
        <v>#VALUE!</v>
      </c>
      <c r="E22" t="e" cm="1" vm="1">
        <f t="array" aca="1" ref="E22" ca="1">[1]!BRAP4.VarPer</f>
        <v>#VALUE!</v>
      </c>
      <c r="F22" cm="1">
        <f t="array" ref="F22">[1]!BRAP4.Hora</f>
        <v>0.74995370370370373</v>
      </c>
      <c r="G22" t="e" cm="1" vm="1">
        <f t="array" aca="1" ref="G22" ca="1">[1]!BRAP4.VarSem</f>
        <v>#VALUE!</v>
      </c>
      <c r="H22" t="e" cm="1" vm="1">
        <f t="array" aca="1" ref="H22" ca="1">[1]!BRAP4.VarMes</f>
        <v>#VALUE!</v>
      </c>
      <c r="I22" t="e" cm="1" vm="1">
        <f t="array" aca="1" ref="I22" ca="1">[1]!BRAP4.Var12M</f>
        <v>#VALUE!</v>
      </c>
      <c r="J22" cm="1">
        <f t="array" ref="J22">[1]!BRAP4.Vol</f>
        <v>32430777</v>
      </c>
      <c r="K22" cm="1">
        <f t="array" ref="K22">[1]!BRAP4.QtdNeg</f>
        <v>4760</v>
      </c>
      <c r="L22" t="e" cm="1" vm="1">
        <f t="array" aca="1" ref="L22" ca="1">[1]!BRAP4.Fech</f>
        <v>#VALUE!</v>
      </c>
      <c r="M22" t="e" cm="1" vm="1">
        <f t="array" aca="1" ref="M22" ca="1">[1]!BRAP4.IbovParticip</f>
        <v>#VALUE!</v>
      </c>
      <c r="N22" t="str" cm="1">
        <f t="array" ref="N22">[1]!BRAP4.Desc</f>
        <v>BRADESPAR PN N1</v>
      </c>
      <c r="O22" t="e" cm="1" vm="1">
        <f t="array" aca="1" ref="O22" ca="1">[1]!BRAP4.VarAnual</f>
        <v>#VALUE!</v>
      </c>
      <c r="P22" cm="1">
        <f t="array" ref="P22">[1]!BRAP4.Exerc</f>
        <v>0</v>
      </c>
      <c r="Q22" cm="1">
        <f t="array" ref="Q22">[1]!BRAP4.Expir</f>
        <v>0</v>
      </c>
    </row>
    <row r="23" spans="1:17" x14ac:dyDescent="0.25">
      <c r="A23" t="str" cm="1">
        <f t="array" ref="A23">[1]!BRFS3.Estado</f>
        <v>Normal</v>
      </c>
      <c r="B23" cm="1">
        <f t="array" ref="B23">[1]!BRFS3.PreTeo</f>
        <v>0</v>
      </c>
      <c r="C23" t="s">
        <v>85</v>
      </c>
      <c r="D23" t="e" cm="1" vm="1">
        <f t="array" aca="1" ref="D23" ca="1">[1]!BRFS3.Ult</f>
        <v>#VALUE!</v>
      </c>
      <c r="E23" t="e" cm="1" vm="1">
        <f t="array" aca="1" ref="E23" ca="1">[1]!BRFS3.VarPer</f>
        <v>#VALUE!</v>
      </c>
      <c r="F23" cm="1">
        <f t="array" ref="F23">[1]!BRFS3.Hora</f>
        <v>0.74982638888888886</v>
      </c>
      <c r="G23" t="e" cm="1" vm="1">
        <f t="array" aca="1" ref="G23" ca="1">[1]!BRFS3.VarSem</f>
        <v>#VALUE!</v>
      </c>
      <c r="H23" t="e" cm="1" vm="1">
        <f t="array" aca="1" ref="H23" ca="1">[1]!BRFS3.VarMes</f>
        <v>#VALUE!</v>
      </c>
      <c r="I23" t="e" cm="1" vm="1">
        <f t="array" aca="1" ref="I23" ca="1">[1]!BRFS3.Var12M</f>
        <v>#VALUE!</v>
      </c>
      <c r="J23" cm="1">
        <f t="array" ref="J23">[1]!BRFS3.Vol</f>
        <v>83511919</v>
      </c>
      <c r="K23" cm="1">
        <f t="array" ref="K23">[1]!BRFS3.QtdNeg</f>
        <v>14667</v>
      </c>
      <c r="L23" t="e" cm="1" vm="1">
        <f t="array" aca="1" ref="L23" ca="1">[1]!BRFS3.Fech</f>
        <v>#VALUE!</v>
      </c>
      <c r="M23" t="e" cm="1" vm="1">
        <f t="array" aca="1" ref="M23" ca="1">[1]!BRFS3.IbovParticip</f>
        <v>#VALUE!</v>
      </c>
      <c r="N23" t="str" cm="1">
        <f t="array" ref="N23">[1]!BRFS3.Desc</f>
        <v>BRF SA ON NM</v>
      </c>
      <c r="O23" t="e" cm="1" vm="1">
        <f t="array" aca="1" ref="O23" ca="1">[1]!BRFS3.VarAnual</f>
        <v>#VALUE!</v>
      </c>
      <c r="P23" cm="1">
        <f t="array" ref="P23">[1]!BRFS3.Exerc</f>
        <v>0</v>
      </c>
      <c r="Q23" cm="1">
        <f t="array" ref="Q23">[1]!BRFS3.Expir</f>
        <v>0</v>
      </c>
    </row>
    <row r="24" spans="1:17" x14ac:dyDescent="0.25">
      <c r="A24" t="str" cm="1">
        <f t="array" ref="A24">[1]!BRKM5.Estado</f>
        <v>Normal</v>
      </c>
      <c r="B24" cm="1">
        <f t="array" ref="B24">[1]!BRKM5.PreTeo</f>
        <v>0</v>
      </c>
      <c r="C24" t="s">
        <v>86</v>
      </c>
      <c r="D24" t="e" cm="1" vm="1">
        <f t="array" aca="1" ref="D24" ca="1">[1]!BRKM5.Ult</f>
        <v>#VALUE!</v>
      </c>
      <c r="E24" t="e" cm="1" vm="1">
        <f t="array" aca="1" ref="E24" ca="1">[1]!BRKM5.VarPer</f>
        <v>#VALUE!</v>
      </c>
      <c r="F24" cm="1">
        <f t="array" ref="F24">[1]!BRKM5.Hora</f>
        <v>0.74988425925925928</v>
      </c>
      <c r="G24" t="e" cm="1" vm="1">
        <f t="array" aca="1" ref="G24" ca="1">[1]!BRKM5.VarSem</f>
        <v>#VALUE!</v>
      </c>
      <c r="H24" t="e" cm="1" vm="1">
        <f t="array" aca="1" ref="H24" ca="1">[1]!BRKM5.VarMes</f>
        <v>#VALUE!</v>
      </c>
      <c r="I24" t="e" cm="1" vm="1">
        <f t="array" aca="1" ref="I24" ca="1">[1]!BRKM5.Var12M</f>
        <v>#VALUE!</v>
      </c>
      <c r="J24" cm="1">
        <f t="array" ref="J24">[1]!BRKM5.Vol</f>
        <v>60165833</v>
      </c>
      <c r="K24" cm="1">
        <f t="array" ref="K24">[1]!BRKM5.QtdNeg</f>
        <v>8563</v>
      </c>
      <c r="L24" t="e" cm="1" vm="1">
        <f t="array" aca="1" ref="L24" ca="1">[1]!BRKM5.Fech</f>
        <v>#VALUE!</v>
      </c>
      <c r="M24" t="e" cm="1" vm="1">
        <f t="array" aca="1" ref="M24" ca="1">[1]!BRKM5.IbovParticip</f>
        <v>#VALUE!</v>
      </c>
      <c r="N24" t="str" cm="1">
        <f t="array" ref="N24">[1]!BRKM5.Desc</f>
        <v>BRASKEM PNA N1</v>
      </c>
      <c r="O24" t="e" cm="1" vm="1">
        <f t="array" aca="1" ref="O24" ca="1">[1]!BRKM5.VarAnual</f>
        <v>#VALUE!</v>
      </c>
      <c r="P24" cm="1">
        <f t="array" ref="P24">[1]!BRKM5.Exerc</f>
        <v>0</v>
      </c>
      <c r="Q24" cm="1">
        <f t="array" ref="Q24">[1]!BRKM5.Expir</f>
        <v>0</v>
      </c>
    </row>
    <row r="25" spans="1:17" x14ac:dyDescent="0.25">
      <c r="A25" t="str" cm="1">
        <f t="array" ref="A25">[1]!BRML3.Estado</f>
        <v>Normal</v>
      </c>
      <c r="B25" cm="1">
        <f t="array" ref="B25">[1]!BRML3.PreTeo</f>
        <v>0</v>
      </c>
      <c r="C25" t="s">
        <v>87</v>
      </c>
      <c r="D25" t="e" cm="1" vm="1">
        <f t="array" aca="1" ref="D25" ca="1">[1]!BRML3.Ult</f>
        <v>#VALUE!</v>
      </c>
      <c r="E25" t="e" cm="1" vm="1">
        <f t="array" aca="1" ref="E25" ca="1">[1]!BRML3.VarPer</f>
        <v>#VALUE!</v>
      </c>
      <c r="F25" cm="1">
        <f t="array" ref="F25">[1]!BRML3.Hora</f>
        <v>0.74868055555555557</v>
      </c>
      <c r="G25" t="e" cm="1" vm="1">
        <f t="array" aca="1" ref="G25" ca="1">[1]!BRML3.VarSem</f>
        <v>#VALUE!</v>
      </c>
      <c r="H25" t="e" cm="1" vm="1">
        <f t="array" aca="1" ref="H25" ca="1">[1]!BRML3.VarMes</f>
        <v>#VALUE!</v>
      </c>
      <c r="I25" t="e" cm="1" vm="1">
        <f t="array" aca="1" ref="I25" ca="1">[1]!BRML3.Var12M</f>
        <v>#VALUE!</v>
      </c>
      <c r="J25" cm="1">
        <f t="array" ref="J25">[1]!BRML3.Vol</f>
        <v>60716873</v>
      </c>
      <c r="K25" cm="1">
        <f t="array" ref="K25">[1]!BRML3.QtdNeg</f>
        <v>14815</v>
      </c>
      <c r="L25" t="e" cm="1" vm="1">
        <f t="array" aca="1" ref="L25" ca="1">[1]!BRML3.Fech</f>
        <v>#VALUE!</v>
      </c>
      <c r="M25" t="e" cm="1" vm="1">
        <f t="array" aca="1" ref="M25" ca="1">[1]!BRML3.IbovParticip</f>
        <v>#VALUE!</v>
      </c>
      <c r="N25" t="str" cm="1">
        <f t="array" ref="N25">[1]!BRML3.Desc</f>
        <v>BR MALLS PARON NM</v>
      </c>
      <c r="O25" t="e" cm="1" vm="1">
        <f t="array" aca="1" ref="O25" ca="1">[1]!BRML3.VarAnual</f>
        <v>#VALUE!</v>
      </c>
      <c r="P25" cm="1">
        <f t="array" ref="P25">[1]!BRML3.Exerc</f>
        <v>0</v>
      </c>
      <c r="Q25" cm="1">
        <f t="array" ref="Q25">[1]!BRML3.Expir</f>
        <v>0</v>
      </c>
    </row>
    <row r="26" spans="1:17" x14ac:dyDescent="0.25">
      <c r="A26" t="str" cm="1">
        <f t="array" ref="A26">[1]!BRSR6.Estado</f>
        <v>Normal</v>
      </c>
      <c r="B26" cm="1">
        <f t="array" ref="B26">[1]!BRSR6.PreTeo</f>
        <v>0</v>
      </c>
      <c r="C26" t="s">
        <v>88</v>
      </c>
      <c r="D26" t="e" cm="1" vm="1">
        <f t="array" aca="1" ref="D26" ca="1">[1]!BRSR6.Ult</f>
        <v>#VALUE!</v>
      </c>
      <c r="E26" t="e" cm="1" vm="1">
        <f t="array" aca="1" ref="E26" ca="1">[1]!BRSR6.VarPer</f>
        <v>#VALUE!</v>
      </c>
      <c r="F26" cm="1">
        <f t="array" ref="F26">[1]!BRSR6.Hora</f>
        <v>0.73946759259259265</v>
      </c>
      <c r="G26" t="e" cm="1" vm="1">
        <f t="array" aca="1" ref="G26" ca="1">[1]!BRSR6.VarSem</f>
        <v>#VALUE!</v>
      </c>
      <c r="H26" t="e" cm="1" vm="1">
        <f t="array" aca="1" ref="H26" ca="1">[1]!BRSR6.VarMes</f>
        <v>#VALUE!</v>
      </c>
      <c r="I26" t="e" cm="1" vm="1">
        <f t="array" aca="1" ref="I26" ca="1">[1]!BRSR6.Var12M</f>
        <v>#VALUE!</v>
      </c>
      <c r="J26" cm="1">
        <f t="array" ref="J26">[1]!BRSR6.Vol</f>
        <v>18752348</v>
      </c>
      <c r="K26" cm="1">
        <f t="array" ref="K26">[1]!BRSR6.QtdNeg</f>
        <v>7686</v>
      </c>
      <c r="L26" t="e" cm="1" vm="1">
        <f t="array" aca="1" ref="L26" ca="1">[1]!BRSR6.Fech</f>
        <v>#VALUE!</v>
      </c>
      <c r="M26" cm="1">
        <f t="array" ref="M26">[1]!BRSR6.IbovParticip</f>
        <v>0</v>
      </c>
      <c r="N26" t="str" cm="1">
        <f t="array" ref="N26">[1]!BRSR6.Desc</f>
        <v>BANRISUL PNB N1</v>
      </c>
      <c r="O26" t="e" cm="1" vm="1">
        <f t="array" aca="1" ref="O26" ca="1">[1]!BRSR6.VarAnual</f>
        <v>#VALUE!</v>
      </c>
      <c r="P26" cm="1">
        <f t="array" ref="P26">[1]!BRSR6.Exerc</f>
        <v>0</v>
      </c>
      <c r="Q26" cm="1">
        <f t="array" ref="Q26">[1]!BRSR6.Expir</f>
        <v>0</v>
      </c>
    </row>
    <row r="27" spans="1:17" x14ac:dyDescent="0.25">
      <c r="A27" t="str" cm="1">
        <f t="array" ref="A27">[1]!CASH3.Estado</f>
        <v>Normal</v>
      </c>
      <c r="B27" cm="1">
        <f t="array" ref="B27">[1]!CASH3.PreTeo</f>
        <v>0</v>
      </c>
      <c r="C27" t="s">
        <v>89</v>
      </c>
      <c r="D27" t="e" cm="1" vm="1">
        <f t="array" aca="1" ref="D27" ca="1">[1]!CASH3.Ult</f>
        <v>#VALUE!</v>
      </c>
      <c r="E27" t="e" cm="1" vm="1">
        <f t="array" aca="1" ref="E27" ca="1">[1]!CASH3.VarPer</f>
        <v>#VALUE!</v>
      </c>
      <c r="F27" cm="1">
        <f t="array" ref="F27">[1]!CASH3.Hora</f>
        <v>0.74997685185185192</v>
      </c>
      <c r="G27" t="e" cm="1" vm="1">
        <f t="array" aca="1" ref="G27" ca="1">[1]!CASH3.VarSem</f>
        <v>#VALUE!</v>
      </c>
      <c r="H27" t="e" cm="1" vm="1">
        <f t="array" aca="1" ref="H27" ca="1">[1]!CASH3.VarMes</f>
        <v>#VALUE!</v>
      </c>
      <c r="I27" t="e" cm="1" vm="1">
        <f t="array" aca="1" ref="I27" ca="1">[1]!CASH3.Var12M</f>
        <v>#VALUE!</v>
      </c>
      <c r="J27" cm="1">
        <f t="array" ref="J27">[1]!CASH3.Vol</f>
        <v>34834427</v>
      </c>
      <c r="K27" cm="1">
        <f t="array" ref="K27">[1]!CASH3.QtdNeg</f>
        <v>10538</v>
      </c>
      <c r="L27" t="e" cm="1" vm="1">
        <f t="array" aca="1" ref="L27" ca="1">[1]!CASH3.Fech</f>
        <v>#VALUE!</v>
      </c>
      <c r="M27" t="e" cm="1" vm="1">
        <f t="array" aca="1" ref="M27" ca="1">[1]!CASH3.IbovParticip</f>
        <v>#VALUE!</v>
      </c>
      <c r="N27" t="str" cm="1">
        <f t="array" ref="N27">[1]!CASH3.Desc</f>
        <v>MELIUZ ON NM</v>
      </c>
      <c r="O27" t="e" cm="1" vm="1">
        <f t="array" aca="1" ref="O27" ca="1">[1]!CASH3.VarAnual</f>
        <v>#VALUE!</v>
      </c>
      <c r="P27" cm="1">
        <f t="array" ref="P27">[1]!CASH3.Exerc</f>
        <v>0</v>
      </c>
      <c r="Q27" cm="1">
        <f t="array" ref="Q27">[1]!CASH3.Expir</f>
        <v>0</v>
      </c>
    </row>
    <row r="28" spans="1:17" x14ac:dyDescent="0.25">
      <c r="A28" t="str" cm="1">
        <f t="array" ref="A28">[1]!CCRO3.Estado</f>
        <v>Normal</v>
      </c>
      <c r="B28" cm="1">
        <f t="array" ref="B28">[1]!CCRO3.PreTeo</f>
        <v>0</v>
      </c>
      <c r="C28" t="s">
        <v>90</v>
      </c>
      <c r="D28" t="e" cm="1" vm="1">
        <f t="array" aca="1" ref="D28" ca="1">[1]!CCRO3.Ult</f>
        <v>#VALUE!</v>
      </c>
      <c r="E28" t="e" cm="1" vm="1">
        <f t="array" aca="1" ref="E28" ca="1">[1]!CCRO3.VarPer</f>
        <v>#VALUE!</v>
      </c>
      <c r="F28" cm="1">
        <f t="array" ref="F28">[1]!CCRO3.Hora</f>
        <v>0.74633101851851846</v>
      </c>
      <c r="G28" t="e" cm="1" vm="1">
        <f t="array" aca="1" ref="G28" ca="1">[1]!CCRO3.VarSem</f>
        <v>#VALUE!</v>
      </c>
      <c r="H28" t="e" cm="1" vm="1">
        <f t="array" aca="1" ref="H28" ca="1">[1]!CCRO3.VarMes</f>
        <v>#VALUE!</v>
      </c>
      <c r="I28" t="e" cm="1" vm="1">
        <f t="array" aca="1" ref="I28" ca="1">[1]!CCRO3.Var12M</f>
        <v>#VALUE!</v>
      </c>
      <c r="J28" cm="1">
        <f t="array" ref="J28">[1]!CCRO3.Vol</f>
        <v>146202959</v>
      </c>
      <c r="K28" cm="1">
        <f t="array" ref="K28">[1]!CCRO3.QtdNeg</f>
        <v>19207</v>
      </c>
      <c r="L28" t="e" cm="1" vm="1">
        <f t="array" aca="1" ref="L28" ca="1">[1]!CCRO3.Fech</f>
        <v>#VALUE!</v>
      </c>
      <c r="M28" t="e" cm="1" vm="1">
        <f t="array" aca="1" ref="M28" ca="1">[1]!CCRO3.IbovParticip</f>
        <v>#VALUE!</v>
      </c>
      <c r="N28" t="str" cm="1">
        <f t="array" ref="N28">[1]!CCRO3.Desc</f>
        <v>CCR SA ON NM</v>
      </c>
      <c r="O28" t="e" cm="1" vm="1">
        <f t="array" aca="1" ref="O28" ca="1">[1]!CCRO3.VarAnual</f>
        <v>#VALUE!</v>
      </c>
      <c r="P28" cm="1">
        <f t="array" ref="P28">[1]!CCRO3.Exerc</f>
        <v>0</v>
      </c>
      <c r="Q28" cm="1">
        <f t="array" ref="Q28">[1]!CCRO3.Expir</f>
        <v>0</v>
      </c>
    </row>
    <row r="29" spans="1:17" x14ac:dyDescent="0.25">
      <c r="A29" t="str" cm="1">
        <f t="array" ref="A29">[1]!CIEL3.Estado</f>
        <v>Normal</v>
      </c>
      <c r="B29" cm="1">
        <f t="array" ref="B29">[1]!CIEL3.PreTeo</f>
        <v>0</v>
      </c>
      <c r="C29" t="s">
        <v>91</v>
      </c>
      <c r="D29" t="e" cm="1" vm="1">
        <f t="array" aca="1" ref="D29" ca="1">[1]!CIEL3.Ult</f>
        <v>#VALUE!</v>
      </c>
      <c r="E29" t="e" cm="1" vm="1">
        <f t="array" aca="1" ref="E29" ca="1">[1]!CIEL3.VarPer</f>
        <v>#VALUE!</v>
      </c>
      <c r="F29" cm="1">
        <f t="array" ref="F29">[1]!CIEL3.Hora</f>
        <v>0.74990740740740736</v>
      </c>
      <c r="G29" t="e" cm="1" vm="1">
        <f t="array" aca="1" ref="G29" ca="1">[1]!CIEL3.VarSem</f>
        <v>#VALUE!</v>
      </c>
      <c r="H29" t="e" cm="1" vm="1">
        <f t="array" aca="1" ref="H29" ca="1">[1]!CIEL3.VarMes</f>
        <v>#VALUE!</v>
      </c>
      <c r="I29" t="e" cm="1" vm="1">
        <f t="array" aca="1" ref="I29" ca="1">[1]!CIEL3.Var12M</f>
        <v>#VALUE!</v>
      </c>
      <c r="J29" cm="1">
        <f t="array" ref="J29">[1]!CIEL3.Vol</f>
        <v>93679559</v>
      </c>
      <c r="K29" cm="1">
        <f t="array" ref="K29">[1]!CIEL3.QtdNeg</f>
        <v>27349</v>
      </c>
      <c r="L29" t="e" cm="1" vm="1">
        <f t="array" aca="1" ref="L29" ca="1">[1]!CIEL3.Fech</f>
        <v>#VALUE!</v>
      </c>
      <c r="M29" t="e" cm="1" vm="1">
        <f t="array" aca="1" ref="M29" ca="1">[1]!CIEL3.IbovParticip</f>
        <v>#VALUE!</v>
      </c>
      <c r="N29" t="str" cm="1">
        <f t="array" ref="N29">[1]!CIEL3.Desc</f>
        <v>CIELO ON EJ NM</v>
      </c>
      <c r="O29" t="e" cm="1" vm="1">
        <f t="array" aca="1" ref="O29" ca="1">[1]!CIEL3.VarAnual</f>
        <v>#VALUE!</v>
      </c>
      <c r="P29" cm="1">
        <f t="array" ref="P29">[1]!CIEL3.Exerc</f>
        <v>0</v>
      </c>
      <c r="Q29" cm="1">
        <f t="array" ref="Q29">[1]!CIEL3.Expir</f>
        <v>0</v>
      </c>
    </row>
    <row r="30" spans="1:17" x14ac:dyDescent="0.25">
      <c r="A30" t="str" cm="1">
        <f t="array" ref="A30">[1]!CMIG4.Estado</f>
        <v>Normal</v>
      </c>
      <c r="B30" cm="1">
        <f t="array" ref="B30">[1]!CMIG4.PreTeo</f>
        <v>0</v>
      </c>
      <c r="C30" t="s">
        <v>92</v>
      </c>
      <c r="D30" t="e" cm="1" vm="1">
        <f t="array" aca="1" ref="D30" ca="1">[1]!CMIG4.Ult</f>
        <v>#VALUE!</v>
      </c>
      <c r="E30" t="e" cm="1" vm="1">
        <f t="array" aca="1" ref="E30" ca="1">[1]!CMIG4.VarPer</f>
        <v>#VALUE!</v>
      </c>
      <c r="F30" cm="1">
        <f t="array" ref="F30">[1]!CMIG4.Hora</f>
        <v>0.74837962962962967</v>
      </c>
      <c r="G30" t="e" cm="1" vm="1">
        <f t="array" aca="1" ref="G30" ca="1">[1]!CMIG4.VarSem</f>
        <v>#VALUE!</v>
      </c>
      <c r="H30" t="e" cm="1" vm="1">
        <f t="array" aca="1" ref="H30" ca="1">[1]!CMIG4.VarMes</f>
        <v>#VALUE!</v>
      </c>
      <c r="I30" t="e" cm="1" vm="1">
        <f t="array" aca="1" ref="I30" ca="1">[1]!CMIG4.Var12M</f>
        <v>#VALUE!</v>
      </c>
      <c r="J30" cm="1">
        <f t="array" ref="J30">[1]!CMIG4.Vol</f>
        <v>65437959</v>
      </c>
      <c r="K30" cm="1">
        <f t="array" ref="K30">[1]!CMIG4.QtdNeg</f>
        <v>10664</v>
      </c>
      <c r="L30" t="e" cm="1" vm="1">
        <f t="array" aca="1" ref="L30" ca="1">[1]!CMIG4.Fech</f>
        <v>#VALUE!</v>
      </c>
      <c r="M30" t="e" cm="1" vm="1">
        <f t="array" aca="1" ref="M30" ca="1">[1]!CMIG4.IbovParticip</f>
        <v>#VALUE!</v>
      </c>
      <c r="N30" t="str" cm="1">
        <f t="array" ref="N30">[1]!CMIG4.Desc</f>
        <v>CEMIG PN N1</v>
      </c>
      <c r="O30" t="e" cm="1" vm="1">
        <f t="array" aca="1" ref="O30" ca="1">[1]!CMIG4.VarAnual</f>
        <v>#VALUE!</v>
      </c>
      <c r="P30" cm="1">
        <f t="array" ref="P30">[1]!CMIG4.Exerc</f>
        <v>0</v>
      </c>
      <c r="Q30" cm="1">
        <f t="array" ref="Q30">[1]!CMIG4.Expir</f>
        <v>0</v>
      </c>
    </row>
    <row r="31" spans="1:17" x14ac:dyDescent="0.25">
      <c r="A31" t="str" cm="1">
        <f t="array" ref="A31">[1]!CMIN3.Estado</f>
        <v>Normal</v>
      </c>
      <c r="B31" cm="1">
        <f t="array" ref="B31">[1]!CMIN3.PreTeo</f>
        <v>0</v>
      </c>
      <c r="C31" t="s">
        <v>93</v>
      </c>
      <c r="D31" t="e" cm="1" vm="1">
        <f t="array" aca="1" ref="D31" ca="1">[1]!CMIN3.Ult</f>
        <v>#VALUE!</v>
      </c>
      <c r="E31" t="e" cm="1" vm="1">
        <f t="array" aca="1" ref="E31" ca="1">[1]!CMIN3.VarPer</f>
        <v>#VALUE!</v>
      </c>
      <c r="F31" cm="1">
        <f t="array" ref="F31">[1]!CMIN3.Hora</f>
        <v>0.74958333333333327</v>
      </c>
      <c r="G31" t="e" cm="1" vm="1">
        <f t="array" aca="1" ref="G31" ca="1">[1]!CMIN3.VarSem</f>
        <v>#VALUE!</v>
      </c>
      <c r="H31" t="e" cm="1" vm="1">
        <f t="array" aca="1" ref="H31" ca="1">[1]!CMIN3.VarMes</f>
        <v>#VALUE!</v>
      </c>
      <c r="I31" t="e" cm="1" vm="1">
        <f t="array" aca="1" ref="I31" ca="1">[1]!CMIN3.Var12M</f>
        <v>#VALUE!</v>
      </c>
      <c r="J31" cm="1">
        <f t="array" ref="J31">[1]!CMIN3.Vol</f>
        <v>27357574</v>
      </c>
      <c r="K31" cm="1">
        <f t="array" ref="K31">[1]!CMIN3.QtdNeg</f>
        <v>7154</v>
      </c>
      <c r="L31" t="e" cm="1" vm="1">
        <f t="array" aca="1" ref="L31" ca="1">[1]!CMIN3.Fech</f>
        <v>#VALUE!</v>
      </c>
      <c r="M31" t="e" cm="1" vm="1">
        <f t="array" aca="1" ref="M31" ca="1">[1]!CMIN3.IbovParticip</f>
        <v>#VALUE!</v>
      </c>
      <c r="N31" t="str" cm="1">
        <f t="array" ref="N31">[1]!CMIN3.Desc</f>
        <v>CSNMINERACAOON N2</v>
      </c>
      <c r="O31" t="e" cm="1" vm="1">
        <f t="array" aca="1" ref="O31" ca="1">[1]!CMIN3.VarAnual</f>
        <v>#VALUE!</v>
      </c>
      <c r="P31" cm="1">
        <f t="array" ref="P31">[1]!CMIN3.Exerc</f>
        <v>0</v>
      </c>
      <c r="Q31" cm="1">
        <f t="array" ref="Q31">[1]!CMIN3.Expir</f>
        <v>0</v>
      </c>
    </row>
    <row r="32" spans="1:17" x14ac:dyDescent="0.25">
      <c r="A32" t="str" cm="1">
        <f t="array" ref="A32">[1]!COGN3.Estado</f>
        <v>Normal</v>
      </c>
      <c r="B32" cm="1">
        <f t="array" ref="B32">[1]!COGN3.PreTeo</f>
        <v>0</v>
      </c>
      <c r="C32" t="s">
        <v>94</v>
      </c>
      <c r="D32" t="e" cm="1" vm="1">
        <f t="array" aca="1" ref="D32" ca="1">[1]!COGN3.Ult</f>
        <v>#VALUE!</v>
      </c>
      <c r="E32" t="e" cm="1" vm="1">
        <f t="array" aca="1" ref="E32" ca="1">[1]!COGN3.VarPer</f>
        <v>#VALUE!</v>
      </c>
      <c r="F32" cm="1">
        <f t="array" ref="F32">[1]!COGN3.Hora</f>
        <v>0.74996527777777777</v>
      </c>
      <c r="G32" t="e" cm="1" vm="1">
        <f t="array" aca="1" ref="G32" ca="1">[1]!COGN3.VarSem</f>
        <v>#VALUE!</v>
      </c>
      <c r="H32" t="e" cm="1" vm="1">
        <f t="array" aca="1" ref="H32" ca="1">[1]!COGN3.VarMes</f>
        <v>#VALUE!</v>
      </c>
      <c r="I32" t="e" cm="1" vm="1">
        <f t="array" aca="1" ref="I32" ca="1">[1]!COGN3.Var12M</f>
        <v>#VALUE!</v>
      </c>
      <c r="J32" cm="1">
        <f t="array" ref="J32">[1]!COGN3.Vol</f>
        <v>46471366</v>
      </c>
      <c r="K32" cm="1">
        <f t="array" ref="K32">[1]!COGN3.QtdNeg</f>
        <v>10501</v>
      </c>
      <c r="L32" t="e" cm="1" vm="1">
        <f t="array" aca="1" ref="L32" ca="1">[1]!COGN3.Fech</f>
        <v>#VALUE!</v>
      </c>
      <c r="M32" t="e" cm="1" vm="1">
        <f t="array" aca="1" ref="M32" ca="1">[1]!COGN3.IbovParticip</f>
        <v>#VALUE!</v>
      </c>
      <c r="N32" t="str" cm="1">
        <f t="array" ref="N32">[1]!COGN3.Desc</f>
        <v>COGNA ON ON NM</v>
      </c>
      <c r="O32" t="e" cm="1" vm="1">
        <f t="array" aca="1" ref="O32" ca="1">[1]!COGN3.VarAnual</f>
        <v>#VALUE!</v>
      </c>
      <c r="P32" cm="1">
        <f t="array" ref="P32">[1]!COGN3.Exerc</f>
        <v>0</v>
      </c>
      <c r="Q32" cm="1">
        <f t="array" ref="Q32">[1]!COGN3.Expir</f>
        <v>0</v>
      </c>
    </row>
    <row r="33" spans="1:17" x14ac:dyDescent="0.25">
      <c r="A33" t="str" cm="1">
        <f t="array" ref="A33">[1]!CPLE6.Estado</f>
        <v>Normal</v>
      </c>
      <c r="B33" cm="1">
        <f t="array" ref="B33">[1]!CPLE6.PreTeo</f>
        <v>0</v>
      </c>
      <c r="C33" t="s">
        <v>95</v>
      </c>
      <c r="D33" t="e" cm="1" vm="1">
        <f t="array" aca="1" ref="D33" ca="1">[1]!CPLE6.Ult</f>
        <v>#VALUE!</v>
      </c>
      <c r="E33" t="e" cm="1" vm="1">
        <f t="array" aca="1" ref="E33" ca="1">[1]!CPLE6.VarPer</f>
        <v>#VALUE!</v>
      </c>
      <c r="F33" cm="1">
        <f t="array" ref="F33">[1]!CPLE6.Hora</f>
        <v>0.74937500000000001</v>
      </c>
      <c r="G33" t="e" cm="1" vm="1">
        <f t="array" aca="1" ref="G33" ca="1">[1]!CPLE6.VarSem</f>
        <v>#VALUE!</v>
      </c>
      <c r="H33" t="e" cm="1" vm="1">
        <f t="array" aca="1" ref="H33" ca="1">[1]!CPLE6.VarMes</f>
        <v>#VALUE!</v>
      </c>
      <c r="I33" t="e" cm="1" vm="1">
        <f t="array" aca="1" ref="I33" ca="1">[1]!CPLE6.Var12M</f>
        <v>#VALUE!</v>
      </c>
      <c r="J33" cm="1">
        <f t="array" ref="J33">[1]!CPLE6.Vol</f>
        <v>39652116</v>
      </c>
      <c r="K33" cm="1">
        <f t="array" ref="K33">[1]!CPLE6.QtdNeg</f>
        <v>12998</v>
      </c>
      <c r="L33" t="e" cm="1" vm="1">
        <f t="array" aca="1" ref="L33" ca="1">[1]!CPLE6.Fech</f>
        <v>#VALUE!</v>
      </c>
      <c r="M33" t="e" cm="1" vm="1">
        <f t="array" aca="1" ref="M33" ca="1">[1]!CPLE6.IbovParticip</f>
        <v>#VALUE!</v>
      </c>
      <c r="N33" t="str" cm="1">
        <f t="array" ref="N33">[1]!CPLE6.Desc</f>
        <v>COPEL PNB N2</v>
      </c>
      <c r="O33" t="e" cm="1" vm="1">
        <f t="array" aca="1" ref="O33" ca="1">[1]!CPLE6.VarAnual</f>
        <v>#VALUE!</v>
      </c>
      <c r="P33" cm="1">
        <f t="array" ref="P33">[1]!CPLE6.Exerc</f>
        <v>0</v>
      </c>
      <c r="Q33" cm="1">
        <f t="array" ref="Q33">[1]!CPLE6.Expir</f>
        <v>0</v>
      </c>
    </row>
    <row r="34" spans="1:17" x14ac:dyDescent="0.25">
      <c r="A34" t="str" cm="1">
        <f t="array" ref="A34">[1]!CRFB3.Estado</f>
        <v>Normal</v>
      </c>
      <c r="B34" cm="1">
        <f t="array" ref="B34">[1]!CRFB3.PreTeo</f>
        <v>0</v>
      </c>
      <c r="C34" t="s">
        <v>96</v>
      </c>
      <c r="D34" t="e" cm="1" vm="1">
        <f t="array" aca="1" ref="D34" ca="1">[1]!CRFB3.Ult</f>
        <v>#VALUE!</v>
      </c>
      <c r="E34" t="e" cm="1" vm="1">
        <f t="array" aca="1" ref="E34" ca="1">[1]!CRFB3.VarPer</f>
        <v>#VALUE!</v>
      </c>
      <c r="F34" cm="1">
        <f t="array" ref="F34">[1]!CRFB3.Hora</f>
        <v>0.74046296296296299</v>
      </c>
      <c r="G34" t="e" cm="1" vm="1">
        <f t="array" aca="1" ref="G34" ca="1">[1]!CRFB3.VarSem</f>
        <v>#VALUE!</v>
      </c>
      <c r="H34" cm="1">
        <f t="array" ref="H34">[1]!CRFB3.VarMes</f>
        <v>8</v>
      </c>
      <c r="I34" t="e" cm="1" vm="1">
        <f t="array" aca="1" ref="I34" ca="1">[1]!CRFB3.Var12M</f>
        <v>#VALUE!</v>
      </c>
      <c r="J34" cm="1">
        <f t="array" ref="J34">[1]!CRFB3.Vol</f>
        <v>50293654</v>
      </c>
      <c r="K34" cm="1">
        <f t="array" ref="K34">[1]!CRFB3.QtdNeg</f>
        <v>10920</v>
      </c>
      <c r="L34" t="e" cm="1" vm="1">
        <f t="array" aca="1" ref="L34" ca="1">[1]!CRFB3.Fech</f>
        <v>#VALUE!</v>
      </c>
      <c r="M34" t="e" cm="1" vm="1">
        <f t="array" aca="1" ref="M34" ca="1">[1]!CRFB3.IbovParticip</f>
        <v>#VALUE!</v>
      </c>
      <c r="N34" t="str" cm="1">
        <f t="array" ref="N34">[1]!CRFB3.Desc</f>
        <v>CARREFOUR BRON NM</v>
      </c>
      <c r="O34" t="e" cm="1" vm="1">
        <f t="array" aca="1" ref="O34" ca="1">[1]!CRFB3.VarAnual</f>
        <v>#VALUE!</v>
      </c>
      <c r="P34" cm="1">
        <f t="array" ref="P34">[1]!CRFB3.Exerc</f>
        <v>0</v>
      </c>
      <c r="Q34" cm="1">
        <f t="array" ref="Q34">[1]!CRFB3.Expir</f>
        <v>0</v>
      </c>
    </row>
    <row r="35" spans="1:17" x14ac:dyDescent="0.25">
      <c r="A35" t="str" cm="1">
        <f t="array" ref="A35">[1]!CSAN3.Estado</f>
        <v>Normal</v>
      </c>
      <c r="B35" cm="1">
        <f t="array" ref="B35">[1]!CSAN3.PreTeo</f>
        <v>0</v>
      </c>
      <c r="C35" t="s">
        <v>97</v>
      </c>
      <c r="D35" t="e" cm="1" vm="1">
        <f t="array" aca="1" ref="D35" ca="1">[1]!CSAN3.Ult</f>
        <v>#VALUE!</v>
      </c>
      <c r="E35" t="e" cm="1" vm="1">
        <f t="array" aca="1" ref="E35" ca="1">[1]!CSAN3.VarPer</f>
        <v>#VALUE!</v>
      </c>
      <c r="F35" cm="1">
        <f t="array" ref="F35">[1]!CSAN3.Hora</f>
        <v>0.74322916666666661</v>
      </c>
      <c r="G35" t="e" cm="1" vm="1">
        <f t="array" aca="1" ref="G35" ca="1">[1]!CSAN3.VarSem</f>
        <v>#VALUE!</v>
      </c>
      <c r="H35" t="e" cm="1" vm="1">
        <f t="array" aca="1" ref="H35" ca="1">[1]!CSAN3.VarMes</f>
        <v>#VALUE!</v>
      </c>
      <c r="I35" t="e" cm="1" vm="1">
        <f t="array" aca="1" ref="I35" ca="1">[1]!CSAN3.Var12M</f>
        <v>#VALUE!</v>
      </c>
      <c r="J35" cm="1">
        <f t="array" ref="J35">[1]!CSAN3.Vol</f>
        <v>89655717</v>
      </c>
      <c r="K35" cm="1">
        <f t="array" ref="K35">[1]!CSAN3.QtdNeg</f>
        <v>15820</v>
      </c>
      <c r="L35" t="e" cm="1" vm="1">
        <f t="array" aca="1" ref="L35" ca="1">[1]!CSAN3.Fech</f>
        <v>#VALUE!</v>
      </c>
      <c r="M35" t="e" cm="1" vm="1">
        <f t="array" aca="1" ref="M35" ca="1">[1]!CSAN3.IbovParticip</f>
        <v>#VALUE!</v>
      </c>
      <c r="N35" t="str" cm="1">
        <f t="array" ref="N35">[1]!CSAN3.Desc</f>
        <v>COSAN ON NM</v>
      </c>
      <c r="O35" t="e" cm="1" vm="1">
        <f t="array" aca="1" ref="O35" ca="1">[1]!CSAN3.VarAnual</f>
        <v>#VALUE!</v>
      </c>
      <c r="P35" cm="1">
        <f t="array" ref="P35">[1]!CSAN3.Exerc</f>
        <v>0</v>
      </c>
      <c r="Q35" cm="1">
        <f t="array" ref="Q35">[1]!CSAN3.Expir</f>
        <v>0</v>
      </c>
    </row>
    <row r="36" spans="1:17" x14ac:dyDescent="0.25">
      <c r="A36" t="str" cm="1">
        <f t="array" ref="A36">[1]!CSMG3.Estado</f>
        <v>Normal</v>
      </c>
      <c r="B36" cm="1">
        <f t="array" ref="B36">[1]!CSMG3.PreTeo</f>
        <v>0</v>
      </c>
      <c r="C36" t="s">
        <v>98</v>
      </c>
      <c r="D36" t="e" cm="1" vm="1">
        <f t="array" aca="1" ref="D36" ca="1">[1]!CSMG3.Ult</f>
        <v>#VALUE!</v>
      </c>
      <c r="E36" t="e" cm="1" vm="1">
        <f t="array" aca="1" ref="E36" ca="1">[1]!CSMG3.VarPer</f>
        <v>#VALUE!</v>
      </c>
      <c r="F36" cm="1">
        <f t="array" ref="F36">[1]!CSMG3.Hora</f>
        <v>0.74524305555555559</v>
      </c>
      <c r="G36" t="e" cm="1" vm="1">
        <f t="array" aca="1" ref="G36" ca="1">[1]!CSMG3.VarSem</f>
        <v>#VALUE!</v>
      </c>
      <c r="H36" t="e" cm="1" vm="1">
        <f t="array" aca="1" ref="H36" ca="1">[1]!CSMG3.VarMes</f>
        <v>#VALUE!</v>
      </c>
      <c r="I36" t="e" cm="1" vm="1">
        <f t="array" aca="1" ref="I36" ca="1">[1]!CSMG3.Var12M</f>
        <v>#VALUE!</v>
      </c>
      <c r="J36" cm="1">
        <f t="array" ref="J36">[1]!CSMG3.Vol</f>
        <v>20967298</v>
      </c>
      <c r="K36" cm="1">
        <f t="array" ref="K36">[1]!CSMG3.QtdNeg</f>
        <v>5717</v>
      </c>
      <c r="L36" t="e" cm="1" vm="1">
        <f t="array" aca="1" ref="L36" ca="1">[1]!CSMG3.Fech</f>
        <v>#VALUE!</v>
      </c>
      <c r="M36" cm="1">
        <f t="array" ref="M36">[1]!CSMG3.IbovParticip</f>
        <v>0</v>
      </c>
      <c r="N36" t="str" cm="1">
        <f t="array" ref="N36">[1]!CSMG3.Desc</f>
        <v>COPASA ON NM</v>
      </c>
      <c r="O36" t="e" cm="1" vm="1">
        <f t="array" aca="1" ref="O36" ca="1">[1]!CSMG3.VarAnual</f>
        <v>#VALUE!</v>
      </c>
      <c r="P36" cm="1">
        <f t="array" ref="P36">[1]!CSMG3.Exerc</f>
        <v>0</v>
      </c>
      <c r="Q36" cm="1">
        <f t="array" ref="Q36">[1]!CSMG3.Expir</f>
        <v>0</v>
      </c>
    </row>
    <row r="37" spans="1:17" x14ac:dyDescent="0.25">
      <c r="A37" t="str" cm="1">
        <f t="array" ref="A37">[1]!CSNA3.Estado</f>
        <v>Normal</v>
      </c>
      <c r="B37" cm="1">
        <f t="array" ref="B37">[1]!CSNA3.PreTeo</f>
        <v>0</v>
      </c>
      <c r="C37" t="s">
        <v>99</v>
      </c>
      <c r="D37" t="e" cm="1" vm="1">
        <f t="array" aca="1" ref="D37" ca="1">[1]!CSNA3.Ult</f>
        <v>#VALUE!</v>
      </c>
      <c r="E37" t="e" cm="1" vm="1">
        <f t="array" aca="1" ref="E37" ca="1">[1]!CSNA3.VarPer</f>
        <v>#VALUE!</v>
      </c>
      <c r="F37" cm="1">
        <f t="array" ref="F37">[1]!CSNA3.Hora</f>
        <v>0.74981481481481482</v>
      </c>
      <c r="G37" t="e" cm="1" vm="1">
        <f t="array" aca="1" ref="G37" ca="1">[1]!CSNA3.VarSem</f>
        <v>#VALUE!</v>
      </c>
      <c r="H37" t="e" cm="1" vm="1">
        <f t="array" aca="1" ref="H37" ca="1">[1]!CSNA3.VarMes</f>
        <v>#VALUE!</v>
      </c>
      <c r="I37" t="e" cm="1" vm="1">
        <f t="array" aca="1" ref="I37" ca="1">[1]!CSNA3.Var12M</f>
        <v>#VALUE!</v>
      </c>
      <c r="J37" cm="1">
        <f t="array" ref="J37">[1]!CSNA3.Vol</f>
        <v>170771141</v>
      </c>
      <c r="K37" cm="1">
        <f t="array" ref="K37">[1]!CSNA3.QtdNeg</f>
        <v>15636</v>
      </c>
      <c r="L37" t="e" cm="1" vm="1">
        <f t="array" aca="1" ref="L37" ca="1">[1]!CSNA3.Fech</f>
        <v>#VALUE!</v>
      </c>
      <c r="M37" t="e" cm="1" vm="1">
        <f t="array" aca="1" ref="M37" ca="1">[1]!CSNA3.IbovParticip</f>
        <v>#VALUE!</v>
      </c>
      <c r="N37" t="str" cm="1">
        <f t="array" ref="N37">[1]!CSNA3.Desc</f>
        <v>SID NACIONALON</v>
      </c>
      <c r="O37" t="e" cm="1" vm="1">
        <f t="array" aca="1" ref="O37" ca="1">[1]!CSNA3.VarAnual</f>
        <v>#VALUE!</v>
      </c>
      <c r="P37" cm="1">
        <f t="array" ref="P37">[1]!CSNA3.Exerc</f>
        <v>0</v>
      </c>
      <c r="Q37" cm="1">
        <f t="array" ref="Q37">[1]!CSNA3.Expir</f>
        <v>0</v>
      </c>
    </row>
    <row r="38" spans="1:17" x14ac:dyDescent="0.25">
      <c r="A38" t="str" cm="1">
        <f t="array" ref="A38">[1]!CVCB3.Estado</f>
        <v>Normal</v>
      </c>
      <c r="B38" cm="1">
        <f t="array" ref="B38">[1]!CVCB3.PreTeo</f>
        <v>0</v>
      </c>
      <c r="C38" t="s">
        <v>100</v>
      </c>
      <c r="D38" t="e" cm="1" vm="1">
        <f t="array" aca="1" ref="D38" ca="1">[1]!CVCB3.Ult</f>
        <v>#VALUE!</v>
      </c>
      <c r="E38" t="e" cm="1" vm="1">
        <f t="array" aca="1" ref="E38" ca="1">[1]!CVCB3.VarPer</f>
        <v>#VALUE!</v>
      </c>
      <c r="F38" cm="1">
        <f t="array" ref="F38">[1]!CVCB3.Hora</f>
        <v>0.74968749999999995</v>
      </c>
      <c r="G38" t="e" cm="1" vm="1">
        <f t="array" aca="1" ref="G38" ca="1">[1]!CVCB3.VarSem</f>
        <v>#VALUE!</v>
      </c>
      <c r="H38" cm="1">
        <f t="array" ref="H38">[1]!CVCB3.VarMes</f>
        <v>0</v>
      </c>
      <c r="I38" t="e" cm="1" vm="1">
        <f t="array" aca="1" ref="I38" ca="1">[1]!CVCB3.Var12M</f>
        <v>#VALUE!</v>
      </c>
      <c r="J38" cm="1">
        <f t="array" ref="J38">[1]!CVCB3.Vol</f>
        <v>66107937</v>
      </c>
      <c r="K38" cm="1">
        <f t="array" ref="K38">[1]!CVCB3.QtdNeg</f>
        <v>9382</v>
      </c>
      <c r="L38" t="e" cm="1" vm="1">
        <f t="array" aca="1" ref="L38" ca="1">[1]!CVCB3.Fech</f>
        <v>#VALUE!</v>
      </c>
      <c r="M38" t="e" cm="1" vm="1">
        <f t="array" aca="1" ref="M38" ca="1">[1]!CVCB3.IbovParticip</f>
        <v>#VALUE!</v>
      </c>
      <c r="N38" t="str" cm="1">
        <f t="array" ref="N38">[1]!CVCB3.Desc</f>
        <v>CVC BRASIL ON NM</v>
      </c>
      <c r="O38" t="e" cm="1" vm="1">
        <f t="array" aca="1" ref="O38" ca="1">[1]!CVCB3.VarAnual</f>
        <v>#VALUE!</v>
      </c>
      <c r="P38" cm="1">
        <f t="array" ref="P38">[1]!CVCB3.Exerc</f>
        <v>0</v>
      </c>
      <c r="Q38" cm="1">
        <f t="array" ref="Q38">[1]!CVCB3.Expir</f>
        <v>0</v>
      </c>
    </row>
    <row r="39" spans="1:17" x14ac:dyDescent="0.25">
      <c r="A39" t="str" cm="1">
        <f t="array" ref="A39">[1]!CYRE3.Estado</f>
        <v>Normal</v>
      </c>
      <c r="B39" cm="1">
        <f t="array" ref="B39">[1]!CYRE3.PreTeo</f>
        <v>0</v>
      </c>
      <c r="C39" t="s">
        <v>101</v>
      </c>
      <c r="D39" t="e" cm="1" vm="1">
        <f t="array" aca="1" ref="D39" ca="1">[1]!CYRE3.Ult</f>
        <v>#VALUE!</v>
      </c>
      <c r="E39" t="e" cm="1" vm="1">
        <f t="array" aca="1" ref="E39" ca="1">[1]!CYRE3.VarPer</f>
        <v>#VALUE!</v>
      </c>
      <c r="F39" cm="1">
        <f t="array" ref="F39">[1]!CYRE3.Hora</f>
        <v>0.74898148148148147</v>
      </c>
      <c r="G39" t="e" cm="1" vm="1">
        <f t="array" aca="1" ref="G39" ca="1">[1]!CYRE3.VarSem</f>
        <v>#VALUE!</v>
      </c>
      <c r="H39" t="e" cm="1" vm="1">
        <f t="array" aca="1" ref="H39" ca="1">[1]!CYRE3.VarMes</f>
        <v>#VALUE!</v>
      </c>
      <c r="I39" t="e" cm="1" vm="1">
        <f t="array" aca="1" ref="I39" ca="1">[1]!CYRE3.Var12M</f>
        <v>#VALUE!</v>
      </c>
      <c r="J39" cm="1">
        <f t="array" ref="J39">[1]!CYRE3.Vol</f>
        <v>63092284</v>
      </c>
      <c r="K39" cm="1">
        <f t="array" ref="K39">[1]!CYRE3.QtdNeg</f>
        <v>15379</v>
      </c>
      <c r="L39" t="e" cm="1" vm="1">
        <f t="array" aca="1" ref="L39" ca="1">[1]!CYRE3.Fech</f>
        <v>#VALUE!</v>
      </c>
      <c r="M39" t="e" cm="1" vm="1">
        <f t="array" aca="1" ref="M39" ca="1">[1]!CYRE3.IbovParticip</f>
        <v>#VALUE!</v>
      </c>
      <c r="N39" t="str" cm="1">
        <f t="array" ref="N39">[1]!CYRE3.Desc</f>
        <v>CYRELA REALTON NM</v>
      </c>
      <c r="O39" t="e" cm="1" vm="1">
        <f t="array" aca="1" ref="O39" ca="1">[1]!CYRE3.VarAnual</f>
        <v>#VALUE!</v>
      </c>
      <c r="P39" cm="1">
        <f t="array" ref="P39">[1]!CYRE3.Exerc</f>
        <v>0</v>
      </c>
      <c r="Q39" cm="1">
        <f t="array" ref="Q39">[1]!CYRE3.Expir</f>
        <v>0</v>
      </c>
    </row>
    <row r="40" spans="1:17" x14ac:dyDescent="0.25">
      <c r="A40" t="str" cm="1">
        <f t="array" ref="A40">[1]!DOLFUT.Estado</f>
        <v>Normal</v>
      </c>
      <c r="B40" cm="1">
        <f t="array" ref="B40">[1]!DOLFUT.PreTeo</f>
        <v>0</v>
      </c>
      <c r="C40" t="s">
        <v>102</v>
      </c>
      <c r="D40" cm="1">
        <f t="array" ref="D40">[1]!DOLFUT.Ult</f>
        <v>5172</v>
      </c>
      <c r="E40" t="e" cm="1" vm="1">
        <f t="array" aca="1" ref="E40" ca="1">[1]!DOLFUT.VarPer</f>
        <v>#VALUE!</v>
      </c>
      <c r="F40" cm="1">
        <f t="array" ref="F40">[1]!DOLFUT.Hora</f>
        <v>0.74997685185185192</v>
      </c>
      <c r="G40" t="e" cm="1" vm="1">
        <f t="array" aca="1" ref="G40" ca="1">[1]!DOLFUT.VarSem</f>
        <v>#VALUE!</v>
      </c>
      <c r="H40" t="e" cm="1" vm="1">
        <f t="array" aca="1" ref="H40" ca="1">[1]!DOLFUT.VarMes</f>
        <v>#VALUE!</v>
      </c>
      <c r="I40" t="e" cm="1" vm="1">
        <f t="array" aca="1" ref="I40" ca="1">[1]!DOLFUT.Var12M</f>
        <v>#VALUE!</v>
      </c>
      <c r="J40" cm="1">
        <f t="array" ref="J40">[1]!DOLFUT.Vol</f>
        <v>234055</v>
      </c>
      <c r="K40" cm="1">
        <f t="array" ref="K40">[1]!DOLFUT.QtdNeg</f>
        <v>31567</v>
      </c>
      <c r="L40" cm="1">
        <f t="array" ref="L40">[1]!DOLFUT.Fech</f>
        <v>5172</v>
      </c>
      <c r="M40" cm="1">
        <f t="array" ref="M40">[1]!DOLFUT.IbovParticip</f>
        <v>0</v>
      </c>
      <c r="N40" t="str" cm="1">
        <f t="array" ref="N40">[1]!DOLFUT.Desc</f>
        <v>DOLAR COMERCIAL FUTURO:100000157234</v>
      </c>
      <c r="O40" t="e" cm="1" vm="1">
        <f t="array" aca="1" ref="O40" ca="1">[1]!DOLFUT.VarAnual</f>
        <v>#VALUE!</v>
      </c>
      <c r="P40" cm="1">
        <f t="array" ref="P40">[1]!DOLFUT.Exerc</f>
        <v>0</v>
      </c>
      <c r="Q40" cm="1">
        <f t="array" ref="Q40">[1]!DOLFUT.Expir</f>
        <v>44805</v>
      </c>
    </row>
    <row r="41" spans="1:17" x14ac:dyDescent="0.25">
      <c r="A41" t="str" cm="1">
        <f t="array" ref="A41">[1]!DXCO3.Estado</f>
        <v>Normal</v>
      </c>
      <c r="B41" cm="1">
        <f t="array" ref="B41">[1]!DXCO3.PreTeo</f>
        <v>0</v>
      </c>
      <c r="C41" t="s">
        <v>103</v>
      </c>
      <c r="D41" t="e" cm="1" vm="1">
        <f t="array" aca="1" ref="D41" ca="1">[1]!DXCO3.Ult</f>
        <v>#VALUE!</v>
      </c>
      <c r="E41" t="e" cm="1" vm="1">
        <f t="array" aca="1" ref="E41" ca="1">[1]!DXCO3.VarPer</f>
        <v>#VALUE!</v>
      </c>
      <c r="F41" cm="1">
        <f t="array" ref="F41">[1]!DXCO3.Hora</f>
        <v>0.74282407407407414</v>
      </c>
      <c r="G41" t="e" cm="1" vm="1">
        <f t="array" aca="1" ref="G41" ca="1">[1]!DXCO3.VarSem</f>
        <v>#VALUE!</v>
      </c>
      <c r="H41" t="e" cm="1" vm="1">
        <f t="array" aca="1" ref="H41" ca="1">[1]!DXCO3.VarMes</f>
        <v>#VALUE!</v>
      </c>
      <c r="I41" t="e" cm="1" vm="1">
        <f t="array" aca="1" ref="I41" ca="1">[1]!DXCO3.Var12M</f>
        <v>#VALUE!</v>
      </c>
      <c r="J41" cm="1">
        <f t="array" ref="J41">[1]!DXCO3.Vol</f>
        <v>26761327</v>
      </c>
      <c r="K41" cm="1">
        <f t="array" ref="K41">[1]!DXCO3.QtdNeg</f>
        <v>9252</v>
      </c>
      <c r="L41" t="e" cm="1" vm="1">
        <f t="array" aca="1" ref="L41" ca="1">[1]!DXCO3.Fech</f>
        <v>#VALUE!</v>
      </c>
      <c r="M41" t="e" cm="1" vm="1">
        <f t="array" aca="1" ref="M41" ca="1">[1]!DXCO3.IbovParticip</f>
        <v>#VALUE!</v>
      </c>
      <c r="N41" t="str" cm="1">
        <f t="array" ref="N41">[1]!DXCO3.Desc</f>
        <v>DEXCO ON NM</v>
      </c>
      <c r="O41" t="e" cm="1" vm="1">
        <f t="array" aca="1" ref="O41" ca="1">[1]!DXCO3.VarAnual</f>
        <v>#VALUE!</v>
      </c>
      <c r="P41" cm="1">
        <f t="array" ref="P41">[1]!DXCO3.Exerc</f>
        <v>0</v>
      </c>
      <c r="Q41" cm="1">
        <f t="array" ref="Q41">[1]!DXCO3.Expir</f>
        <v>0</v>
      </c>
    </row>
    <row r="42" spans="1:17" x14ac:dyDescent="0.25">
      <c r="A42" t="str" cm="1">
        <f t="array" ref="A42">[1]!ECOR3.Estado</f>
        <v>Normal</v>
      </c>
      <c r="B42" cm="1">
        <f t="array" ref="B42">[1]!ECOR3.PreTeo</f>
        <v>0</v>
      </c>
      <c r="C42" t="s">
        <v>104</v>
      </c>
      <c r="D42" t="e" cm="1" vm="1">
        <f t="array" aca="1" ref="D42" ca="1">[1]!ECOR3.Ult</f>
        <v>#VALUE!</v>
      </c>
      <c r="E42" t="e" cm="1" vm="1">
        <f t="array" aca="1" ref="E42" ca="1">[1]!ECOR3.VarPer</f>
        <v>#VALUE!</v>
      </c>
      <c r="F42" cm="1">
        <f t="array" ref="F42">[1]!ECOR3.Hora</f>
        <v>0.74928240740740737</v>
      </c>
      <c r="G42" t="e" cm="1" vm="1">
        <f t="array" aca="1" ref="G42" ca="1">[1]!ECOR3.VarSem</f>
        <v>#VALUE!</v>
      </c>
      <c r="H42" t="e" cm="1" vm="1">
        <f t="array" aca="1" ref="H42" ca="1">[1]!ECOR3.VarMes</f>
        <v>#VALUE!</v>
      </c>
      <c r="I42" t="e" cm="1" vm="1">
        <f t="array" aca="1" ref="I42" ca="1">[1]!ECOR3.Var12M</f>
        <v>#VALUE!</v>
      </c>
      <c r="J42" cm="1">
        <f t="array" ref="J42">[1]!ECOR3.Vol</f>
        <v>28109820</v>
      </c>
      <c r="K42" cm="1">
        <f t="array" ref="K42">[1]!ECOR3.QtdNeg</f>
        <v>10524</v>
      </c>
      <c r="L42" t="e" cm="1" vm="1">
        <f t="array" aca="1" ref="L42" ca="1">[1]!ECOR3.Fech</f>
        <v>#VALUE!</v>
      </c>
      <c r="M42" t="e" cm="1" vm="1">
        <f t="array" aca="1" ref="M42" ca="1">[1]!ECOR3.IbovParticip</f>
        <v>#VALUE!</v>
      </c>
      <c r="N42" t="str" cm="1">
        <f t="array" ref="N42">[1]!ECOR3.Desc</f>
        <v>ECORODOVIAS ON NM</v>
      </c>
      <c r="O42" t="e" cm="1" vm="1">
        <f t="array" aca="1" ref="O42" ca="1">[1]!ECOR3.VarAnual</f>
        <v>#VALUE!</v>
      </c>
      <c r="P42" cm="1">
        <f t="array" ref="P42">[1]!ECOR3.Exerc</f>
        <v>0</v>
      </c>
      <c r="Q42" cm="1">
        <f t="array" ref="Q42">[1]!ECOR3.Expir</f>
        <v>0</v>
      </c>
    </row>
    <row r="43" spans="1:17" x14ac:dyDescent="0.25">
      <c r="A43" t="str" cm="1">
        <f t="array" ref="A43">[1]!EGIE3.Estado</f>
        <v>Normal</v>
      </c>
      <c r="B43" cm="1">
        <f t="array" ref="B43">[1]!EGIE3.PreTeo</f>
        <v>0</v>
      </c>
      <c r="C43" t="s">
        <v>105</v>
      </c>
      <c r="D43" t="e" cm="1" vm="1">
        <f t="array" aca="1" ref="D43" ca="1">[1]!EGIE3.Ult</f>
        <v>#VALUE!</v>
      </c>
      <c r="E43" t="e" cm="1" vm="1">
        <f t="array" aca="1" ref="E43" ca="1">[1]!EGIE3.VarPer</f>
        <v>#VALUE!</v>
      </c>
      <c r="F43" cm="1">
        <f t="array" ref="F43">[1]!EGIE3.Hora</f>
        <v>0.74994212962962958</v>
      </c>
      <c r="G43" t="e" cm="1" vm="1">
        <f t="array" aca="1" ref="G43" ca="1">[1]!EGIE3.VarSem</f>
        <v>#VALUE!</v>
      </c>
      <c r="H43" t="e" cm="1" vm="1">
        <f t="array" aca="1" ref="H43" ca="1">[1]!EGIE3.VarMes</f>
        <v>#VALUE!</v>
      </c>
      <c r="I43" t="e" cm="1" vm="1">
        <f t="array" aca="1" ref="I43" ca="1">[1]!EGIE3.Var12M</f>
        <v>#VALUE!</v>
      </c>
      <c r="J43" cm="1">
        <f t="array" ref="J43">[1]!EGIE3.Vol</f>
        <v>52967564</v>
      </c>
      <c r="K43" cm="1">
        <f t="array" ref="K43">[1]!EGIE3.QtdNeg</f>
        <v>5498</v>
      </c>
      <c r="L43" t="e" cm="1" vm="1">
        <f t="array" aca="1" ref="L43" ca="1">[1]!EGIE3.Fech</f>
        <v>#VALUE!</v>
      </c>
      <c r="M43" t="e" cm="1" vm="1">
        <f t="array" aca="1" ref="M43" ca="1">[1]!EGIE3.IbovParticip</f>
        <v>#VALUE!</v>
      </c>
      <c r="N43" t="str" cm="1">
        <f t="array" ref="N43">[1]!EGIE3.Desc</f>
        <v>ENGIE BRASILON ED NM</v>
      </c>
      <c r="O43" t="e" cm="1" vm="1">
        <f t="array" aca="1" ref="O43" ca="1">[1]!EGIE3.VarAnual</f>
        <v>#VALUE!</v>
      </c>
      <c r="P43" cm="1">
        <f t="array" ref="P43">[1]!EGIE3.Exerc</f>
        <v>0</v>
      </c>
      <c r="Q43" cm="1">
        <f t="array" ref="Q43">[1]!EGIE3.Expir</f>
        <v>0</v>
      </c>
    </row>
    <row r="44" spans="1:17" x14ac:dyDescent="0.25">
      <c r="A44" t="str" cm="1">
        <f t="array" ref="A44">[1]!ELET3.Estado</f>
        <v>Normal</v>
      </c>
      <c r="B44" cm="1">
        <f t="array" ref="B44">[1]!ELET3.PreTeo</f>
        <v>0</v>
      </c>
      <c r="C44" t="s">
        <v>106</v>
      </c>
      <c r="D44" t="e" cm="1" vm="1">
        <f t="array" aca="1" ref="D44" ca="1">[1]!ELET3.Ult</f>
        <v>#VALUE!</v>
      </c>
      <c r="E44" t="e" cm="1" vm="1">
        <f t="array" aca="1" ref="E44" ca="1">[1]!ELET3.VarPer</f>
        <v>#VALUE!</v>
      </c>
      <c r="F44" cm="1">
        <f t="array" ref="F44">[1]!ELET3.Hora</f>
        <v>0.74966435185185187</v>
      </c>
      <c r="G44" t="e" cm="1" vm="1">
        <f t="array" aca="1" ref="G44" ca="1">[1]!ELET3.VarSem</f>
        <v>#VALUE!</v>
      </c>
      <c r="H44" t="e" cm="1" vm="1">
        <f t="array" aca="1" ref="H44" ca="1">[1]!ELET3.VarMes</f>
        <v>#VALUE!</v>
      </c>
      <c r="I44" t="e" cm="1" vm="1">
        <f t="array" aca="1" ref="I44" ca="1">[1]!ELET3.Var12M</f>
        <v>#VALUE!</v>
      </c>
      <c r="J44" cm="1">
        <f t="array" ref="J44">[1]!ELET3.Vol</f>
        <v>458748388</v>
      </c>
      <c r="K44" cm="1">
        <f t="array" ref="K44">[1]!ELET3.QtdNeg</f>
        <v>33542</v>
      </c>
      <c r="L44" t="e" cm="1" vm="1">
        <f t="array" aca="1" ref="L44" ca="1">[1]!ELET3.Fech</f>
        <v>#VALUE!</v>
      </c>
      <c r="M44" t="e" cm="1" vm="1">
        <f t="array" aca="1" ref="M44" ca="1">[1]!ELET3.IbovParticip</f>
        <v>#VALUE!</v>
      </c>
      <c r="N44" t="str" cm="1">
        <f t="array" ref="N44">[1]!ELET3.Desc</f>
        <v>ELETROBRAS ON N1</v>
      </c>
      <c r="O44" t="e" cm="1" vm="1">
        <f t="array" aca="1" ref="O44" ca="1">[1]!ELET3.VarAnual</f>
        <v>#VALUE!</v>
      </c>
      <c r="P44" cm="1">
        <f t="array" ref="P44">[1]!ELET3.Exerc</f>
        <v>0</v>
      </c>
      <c r="Q44" cm="1">
        <f t="array" ref="Q44">[1]!ELET3.Expir</f>
        <v>0</v>
      </c>
    </row>
    <row r="45" spans="1:17" x14ac:dyDescent="0.25">
      <c r="A45" t="str" cm="1">
        <f t="array" ref="A45">[1]!ELET6.Estado</f>
        <v>Normal</v>
      </c>
      <c r="B45" cm="1">
        <f t="array" ref="B45">[1]!ELET6.PreTeo</f>
        <v>0</v>
      </c>
      <c r="C45" t="s">
        <v>107</v>
      </c>
      <c r="D45" t="e" cm="1" vm="1">
        <f t="array" aca="1" ref="D45" ca="1">[1]!ELET6.Ult</f>
        <v>#VALUE!</v>
      </c>
      <c r="E45" t="e" cm="1" vm="1">
        <f t="array" aca="1" ref="E45" ca="1">[1]!ELET6.VarPer</f>
        <v>#VALUE!</v>
      </c>
      <c r="F45" cm="1">
        <f t="array" ref="F45">[1]!ELET6.Hora</f>
        <v>0.7487152777777778</v>
      </c>
      <c r="G45" t="e" cm="1" vm="1">
        <f t="array" aca="1" ref="G45" ca="1">[1]!ELET6.VarSem</f>
        <v>#VALUE!</v>
      </c>
      <c r="H45" t="e" cm="1" vm="1">
        <f t="array" aca="1" ref="H45" ca="1">[1]!ELET6.VarMes</f>
        <v>#VALUE!</v>
      </c>
      <c r="I45" t="e" cm="1" vm="1">
        <f t="array" aca="1" ref="I45" ca="1">[1]!ELET6.Var12M</f>
        <v>#VALUE!</v>
      </c>
      <c r="J45" cm="1">
        <f t="array" ref="J45">[1]!ELET6.Vol</f>
        <v>116083918</v>
      </c>
      <c r="K45" cm="1">
        <f t="array" ref="K45">[1]!ELET6.QtdNeg</f>
        <v>11545</v>
      </c>
      <c r="L45" t="e" cm="1" vm="1">
        <f t="array" aca="1" ref="L45" ca="1">[1]!ELET6.Fech</f>
        <v>#VALUE!</v>
      </c>
      <c r="M45" t="e" cm="1" vm="1">
        <f t="array" aca="1" ref="M45" ca="1">[1]!ELET6.IbovParticip</f>
        <v>#VALUE!</v>
      </c>
      <c r="N45" t="str" cm="1">
        <f t="array" ref="N45">[1]!ELET6.Desc</f>
        <v>ELETROBRAS PNB N1</v>
      </c>
      <c r="O45" t="e" cm="1" vm="1">
        <f t="array" aca="1" ref="O45" ca="1">[1]!ELET6.VarAnual</f>
        <v>#VALUE!</v>
      </c>
      <c r="P45" cm="1">
        <f t="array" ref="P45">[1]!ELET6.Exerc</f>
        <v>0</v>
      </c>
      <c r="Q45" cm="1">
        <f t="array" ref="Q45">[1]!ELET6.Expir</f>
        <v>0</v>
      </c>
    </row>
    <row r="46" spans="1:17" x14ac:dyDescent="0.25">
      <c r="A46" t="str" cm="1">
        <f t="array" ref="A46">[1]!EMBR3.Estado</f>
        <v>Normal</v>
      </c>
      <c r="B46" cm="1">
        <f t="array" ref="B46">[1]!EMBR3.PreTeo</f>
        <v>0</v>
      </c>
      <c r="C46" t="s">
        <v>108</v>
      </c>
      <c r="D46" t="e" cm="1" vm="1">
        <f t="array" aca="1" ref="D46" ca="1">[1]!EMBR3.Ult</f>
        <v>#VALUE!</v>
      </c>
      <c r="E46" t="e" cm="1" vm="1">
        <f t="array" aca="1" ref="E46" ca="1">[1]!EMBR3.VarPer</f>
        <v>#VALUE!</v>
      </c>
      <c r="F46" cm="1">
        <f t="array" ref="F46">[1]!EMBR3.Hora</f>
        <v>0.74936342592592586</v>
      </c>
      <c r="G46" t="e" cm="1" vm="1">
        <f t="array" aca="1" ref="G46" ca="1">[1]!EMBR3.VarSem</f>
        <v>#VALUE!</v>
      </c>
      <c r="H46" t="e" cm="1" vm="1">
        <f t="array" aca="1" ref="H46" ca="1">[1]!EMBR3.VarMes</f>
        <v>#VALUE!</v>
      </c>
      <c r="I46" t="e" cm="1" vm="1">
        <f t="array" aca="1" ref="I46" ca="1">[1]!EMBR3.Var12M</f>
        <v>#VALUE!</v>
      </c>
      <c r="J46" cm="1">
        <f t="array" ref="J46">[1]!EMBR3.Vol</f>
        <v>85832508</v>
      </c>
      <c r="K46" cm="1">
        <f t="array" ref="K46">[1]!EMBR3.QtdNeg</f>
        <v>11874</v>
      </c>
      <c r="L46" t="e" cm="1" vm="1">
        <f t="array" aca="1" ref="L46" ca="1">[1]!EMBR3.Fech</f>
        <v>#VALUE!</v>
      </c>
      <c r="M46" t="e" cm="1" vm="1">
        <f t="array" aca="1" ref="M46" ca="1">[1]!EMBR3.IbovParticip</f>
        <v>#VALUE!</v>
      </c>
      <c r="N46" t="str" cm="1">
        <f t="array" ref="N46">[1]!EMBR3.Desc</f>
        <v>EMBRAER ON NM</v>
      </c>
      <c r="O46" t="e" cm="1" vm="1">
        <f t="array" aca="1" ref="O46" ca="1">[1]!EMBR3.VarAnual</f>
        <v>#VALUE!</v>
      </c>
      <c r="P46" cm="1">
        <f t="array" ref="P46">[1]!EMBR3.Exerc</f>
        <v>0</v>
      </c>
      <c r="Q46" cm="1">
        <f t="array" ref="Q46">[1]!EMBR3.Expir</f>
        <v>0</v>
      </c>
    </row>
    <row r="47" spans="1:17" x14ac:dyDescent="0.25">
      <c r="A47" t="str" cm="1">
        <f t="array" ref="A47">[1]!ENBR3.Estado</f>
        <v>Normal</v>
      </c>
      <c r="B47" cm="1">
        <f t="array" ref="B47">[1]!ENBR3.PreTeo</f>
        <v>0</v>
      </c>
      <c r="C47" t="s">
        <v>109</v>
      </c>
      <c r="D47" t="e" cm="1" vm="1">
        <f t="array" aca="1" ref="D47" ca="1">[1]!ENBR3.Ult</f>
        <v>#VALUE!</v>
      </c>
      <c r="E47" t="e" cm="1" vm="1">
        <f t="array" aca="1" ref="E47" ca="1">[1]!ENBR3.VarPer</f>
        <v>#VALUE!</v>
      </c>
      <c r="F47" cm="1">
        <f t="array" ref="F47">[1]!ENBR3.Hora</f>
        <v>0.74479166666666663</v>
      </c>
      <c r="G47" t="e" cm="1" vm="1">
        <f t="array" aca="1" ref="G47" ca="1">[1]!ENBR3.VarSem</f>
        <v>#VALUE!</v>
      </c>
      <c r="H47" t="e" cm="1" vm="1">
        <f t="array" aca="1" ref="H47" ca="1">[1]!ENBR3.VarMes</f>
        <v>#VALUE!</v>
      </c>
      <c r="I47" t="e" cm="1" vm="1">
        <f t="array" aca="1" ref="I47" ca="1">[1]!ENBR3.Var12M</f>
        <v>#VALUE!</v>
      </c>
      <c r="J47" cm="1">
        <f t="array" ref="J47">[1]!ENBR3.Vol</f>
        <v>36822031</v>
      </c>
      <c r="K47" cm="1">
        <f t="array" ref="K47">[1]!ENBR3.QtdNeg</f>
        <v>6390</v>
      </c>
      <c r="L47" t="e" cm="1" vm="1">
        <f t="array" aca="1" ref="L47" ca="1">[1]!ENBR3.Fech</f>
        <v>#VALUE!</v>
      </c>
      <c r="M47" t="e" cm="1" vm="1">
        <f t="array" aca="1" ref="M47" ca="1">[1]!ENBR3.IbovParticip</f>
        <v>#VALUE!</v>
      </c>
      <c r="N47" t="str" cm="1">
        <f t="array" ref="N47">[1]!ENBR3.Desc</f>
        <v>ENERGIAS BR ON NM</v>
      </c>
      <c r="O47" cm="1">
        <f t="array" ref="O47">[1]!ENBR3.VarAnual</f>
        <v>24</v>
      </c>
      <c r="P47" cm="1">
        <f t="array" ref="P47">[1]!ENBR3.Exerc</f>
        <v>0</v>
      </c>
      <c r="Q47" cm="1">
        <f t="array" ref="Q47">[1]!ENBR3.Expir</f>
        <v>0</v>
      </c>
    </row>
    <row r="48" spans="1:17" x14ac:dyDescent="0.25">
      <c r="A48" t="str" cm="1">
        <f t="array" ref="A48">[1]!ENEV3.Estado</f>
        <v>Normal</v>
      </c>
      <c r="B48" cm="1">
        <f t="array" ref="B48">[1]!ENEV3.PreTeo</f>
        <v>0</v>
      </c>
      <c r="C48" t="s">
        <v>110</v>
      </c>
      <c r="D48" t="e" cm="1" vm="1">
        <f t="array" aca="1" ref="D48" ca="1">[1]!ENEV3.Ult</f>
        <v>#VALUE!</v>
      </c>
      <c r="E48" t="e" cm="1" vm="1">
        <f t="array" aca="1" ref="E48" ca="1">[1]!ENEV3.VarPer</f>
        <v>#VALUE!</v>
      </c>
      <c r="F48" cm="1">
        <f t="array" ref="F48">[1]!ENEV3.Hora</f>
        <v>0.7453819444444445</v>
      </c>
      <c r="G48" t="e" cm="1" vm="1">
        <f t="array" aca="1" ref="G48" ca="1">[1]!ENEV3.VarSem</f>
        <v>#VALUE!</v>
      </c>
      <c r="H48" t="e" cm="1" vm="1">
        <f t="array" aca="1" ref="H48" ca="1">[1]!ENEV3.VarMes</f>
        <v>#VALUE!</v>
      </c>
      <c r="I48" t="e" cm="1" vm="1">
        <f t="array" aca="1" ref="I48" ca="1">[1]!ENEV3.Var12M</f>
        <v>#VALUE!</v>
      </c>
      <c r="J48" cm="1">
        <f t="array" ref="J48">[1]!ENEV3.Vol</f>
        <v>95652343</v>
      </c>
      <c r="K48" cm="1">
        <f t="array" ref="K48">[1]!ENEV3.QtdNeg</f>
        <v>16479</v>
      </c>
      <c r="L48" t="e" cm="1" vm="1">
        <f t="array" aca="1" ref="L48" ca="1">[1]!ENEV3.Fech</f>
        <v>#VALUE!</v>
      </c>
      <c r="M48" t="e" cm="1" vm="1">
        <f t="array" aca="1" ref="M48" ca="1">[1]!ENEV3.IbovParticip</f>
        <v>#VALUE!</v>
      </c>
      <c r="N48" t="str" cm="1">
        <f t="array" ref="N48">[1]!ENEV3.Desc</f>
        <v>ENEVA ON NM</v>
      </c>
      <c r="O48" t="e" cm="1" vm="1">
        <f t="array" aca="1" ref="O48" ca="1">[1]!ENEV3.VarAnual</f>
        <v>#VALUE!</v>
      </c>
      <c r="P48" cm="1">
        <f t="array" ref="P48">[1]!ENEV3.Exerc</f>
        <v>0</v>
      </c>
      <c r="Q48" cm="1">
        <f t="array" ref="Q48">[1]!ENEV3.Expir</f>
        <v>0</v>
      </c>
    </row>
    <row r="49" spans="1:17" x14ac:dyDescent="0.25">
      <c r="A49" t="str" cm="1">
        <f t="array" ref="A49">[1]!ENGI11.Estado</f>
        <v>Normal</v>
      </c>
      <c r="B49" cm="1">
        <f t="array" ref="B49">[1]!ENGI11.PreTeo</f>
        <v>0</v>
      </c>
      <c r="C49" t="s">
        <v>111</v>
      </c>
      <c r="D49" t="e" cm="1" vm="1">
        <f t="array" aca="1" ref="D49" ca="1">[1]!ENGI11.Ult</f>
        <v>#VALUE!</v>
      </c>
      <c r="E49" t="e" cm="1" vm="1">
        <f t="array" aca="1" ref="E49" ca="1">[1]!ENGI11.VarPer</f>
        <v>#VALUE!</v>
      </c>
      <c r="F49" cm="1">
        <f t="array" ref="F49">[1]!ENGI11.Hora</f>
        <v>0.74583333333333324</v>
      </c>
      <c r="G49" t="e" cm="1" vm="1">
        <f t="array" aca="1" ref="G49" ca="1">[1]!ENGI11.VarSem</f>
        <v>#VALUE!</v>
      </c>
      <c r="H49" t="e" cm="1" vm="1">
        <f t="array" aca="1" ref="H49" ca="1">[1]!ENGI11.VarMes</f>
        <v>#VALUE!</v>
      </c>
      <c r="I49" t="e" cm="1" vm="1">
        <f t="array" aca="1" ref="I49" ca="1">[1]!ENGI11.Var12M</f>
        <v>#VALUE!</v>
      </c>
      <c r="J49" cm="1">
        <f t="array" ref="J49">[1]!ENGI11.Vol</f>
        <v>61992916</v>
      </c>
      <c r="K49" cm="1">
        <f t="array" ref="K49">[1]!ENGI11.QtdNeg</f>
        <v>5667</v>
      </c>
      <c r="L49" t="e" cm="1" vm="1">
        <f t="array" aca="1" ref="L49" ca="1">[1]!ENGI11.Fech</f>
        <v>#VALUE!</v>
      </c>
      <c r="M49" t="e" cm="1" vm="1">
        <f t="array" aca="1" ref="M49" ca="1">[1]!ENGI11.IbovParticip</f>
        <v>#VALUE!</v>
      </c>
      <c r="N49" t="str" cm="1">
        <f t="array" ref="N49">[1]!ENGI11.Desc</f>
        <v>ENERGISA UNT N2</v>
      </c>
      <c r="O49" t="e" cm="1" vm="1">
        <f t="array" aca="1" ref="O49" ca="1">[1]!ENGI11.VarAnual</f>
        <v>#VALUE!</v>
      </c>
      <c r="P49" cm="1">
        <f t="array" ref="P49">[1]!ENGI11.Exerc</f>
        <v>0</v>
      </c>
      <c r="Q49" cm="1">
        <f t="array" ref="Q49">[1]!ENGI11.Expir</f>
        <v>0</v>
      </c>
    </row>
    <row r="50" spans="1:17" x14ac:dyDescent="0.25">
      <c r="A50" t="str" cm="1">
        <f t="array" ref="A50">[1]!EQTL3.Estado</f>
        <v>Normal</v>
      </c>
      <c r="B50" cm="1">
        <f t="array" ref="B50">[1]!EQTL3.PreTeo</f>
        <v>0</v>
      </c>
      <c r="C50" t="s">
        <v>112</v>
      </c>
      <c r="D50" t="e" cm="1" vm="1">
        <f t="array" aca="1" ref="D50" ca="1">[1]!EQTL3.Ult</f>
        <v>#VALUE!</v>
      </c>
      <c r="E50" t="e" cm="1" vm="1">
        <f t="array" aca="1" ref="E50" ca="1">[1]!EQTL3.VarPer</f>
        <v>#VALUE!</v>
      </c>
      <c r="F50" cm="1">
        <f t="array" ref="F50">[1]!EQTL3.Hora</f>
        <v>0.74950231481481477</v>
      </c>
      <c r="G50" t="e" cm="1" vm="1">
        <f t="array" aca="1" ref="G50" ca="1">[1]!EQTL3.VarSem</f>
        <v>#VALUE!</v>
      </c>
      <c r="H50" cm="1">
        <f t="array" ref="H50">[1]!EQTL3.VarMes</f>
        <v>0</v>
      </c>
      <c r="I50" t="e" cm="1" vm="1">
        <f t="array" aca="1" ref="I50" ca="1">[1]!EQTL3.Var12M</f>
        <v>#VALUE!</v>
      </c>
      <c r="J50" cm="1">
        <f t="array" ref="J50">[1]!EQTL3.Vol</f>
        <v>118286026</v>
      </c>
      <c r="K50" cm="1">
        <f t="array" ref="K50">[1]!EQTL3.QtdNeg</f>
        <v>12933</v>
      </c>
      <c r="L50" t="e" cm="1" vm="1">
        <f t="array" aca="1" ref="L50" ca="1">[1]!EQTL3.Fech</f>
        <v>#VALUE!</v>
      </c>
      <c r="M50" t="e" cm="1" vm="1">
        <f t="array" aca="1" ref="M50" ca="1">[1]!EQTL3.IbovParticip</f>
        <v>#VALUE!</v>
      </c>
      <c r="N50" t="str" cm="1">
        <f t="array" ref="N50">[1]!EQTL3.Desc</f>
        <v>EQUATORIAL ON NM</v>
      </c>
      <c r="O50" t="e" cm="1" vm="1">
        <f t="array" aca="1" ref="O50" ca="1">[1]!EQTL3.VarAnual</f>
        <v>#VALUE!</v>
      </c>
      <c r="P50" cm="1">
        <f t="array" ref="P50">[1]!EQTL3.Exerc</f>
        <v>0</v>
      </c>
      <c r="Q50" cm="1">
        <f t="array" ref="Q50">[1]!EQTL3.Expir</f>
        <v>0</v>
      </c>
    </row>
    <row r="51" spans="1:17" x14ac:dyDescent="0.25">
      <c r="A51" t="str" cm="1">
        <f t="array" ref="A51">[1]!ESPA3.Estado</f>
        <v>Normal</v>
      </c>
      <c r="B51" cm="1">
        <f t="array" ref="B51">[1]!ESPA3.PreTeo</f>
        <v>0</v>
      </c>
      <c r="C51" t="s">
        <v>113</v>
      </c>
      <c r="D51" t="e" cm="1" vm="1">
        <f t="array" aca="1" ref="D51" ca="1">[1]!ESPA3.Ult</f>
        <v>#VALUE!</v>
      </c>
      <c r="E51" t="e" cm="1" vm="1">
        <f t="array" aca="1" ref="E51" ca="1">[1]!ESPA3.VarPer</f>
        <v>#VALUE!</v>
      </c>
      <c r="F51" cm="1">
        <f t="array" ref="F51">[1]!ESPA3.Hora</f>
        <v>0.74979166666666675</v>
      </c>
      <c r="G51" cm="1">
        <f t="array" ref="G51">[1]!ESPA3.VarSem</f>
        <v>-4</v>
      </c>
      <c r="H51" t="e" cm="1" vm="1">
        <f t="array" aca="1" ref="H51" ca="1">[1]!ESPA3.VarMes</f>
        <v>#VALUE!</v>
      </c>
      <c r="I51" t="e" cm="1" vm="1">
        <f t="array" aca="1" ref="I51" ca="1">[1]!ESPA3.Var12M</f>
        <v>#VALUE!</v>
      </c>
      <c r="J51" cm="1">
        <f t="array" ref="J51">[1]!ESPA3.Vol</f>
        <v>14231268</v>
      </c>
      <c r="K51" cm="1">
        <f t="array" ref="K51">[1]!ESPA3.QtdNeg</f>
        <v>4660</v>
      </c>
      <c r="L51" t="e" cm="1" vm="1">
        <f t="array" aca="1" ref="L51" ca="1">[1]!ESPA3.Fech</f>
        <v>#VALUE!</v>
      </c>
      <c r="M51" cm="1">
        <f t="array" ref="M51">[1]!ESPA3.IbovParticip</f>
        <v>0</v>
      </c>
      <c r="N51" t="str" cm="1">
        <f t="array" ref="N51">[1]!ESPA3.Desc</f>
        <v>ESPACOLASER ON NM</v>
      </c>
      <c r="O51" t="e" cm="1" vm="1">
        <f t="array" aca="1" ref="O51" ca="1">[1]!ESPA3.VarAnual</f>
        <v>#VALUE!</v>
      </c>
      <c r="P51" cm="1">
        <f t="array" ref="P51">[1]!ESPA3.Exerc</f>
        <v>0</v>
      </c>
      <c r="Q51" cm="1">
        <f t="array" ref="Q51">[1]!ESPA3.Expir</f>
        <v>0</v>
      </c>
    </row>
    <row r="52" spans="1:17" x14ac:dyDescent="0.25">
      <c r="A52" t="str" cm="1">
        <f t="array" ref="A52">[1]!ETER3.Estado</f>
        <v>Normal</v>
      </c>
      <c r="B52" cm="1">
        <f t="array" ref="B52">[1]!ETER3.PreTeo</f>
        <v>0</v>
      </c>
      <c r="C52" t="s">
        <v>114</v>
      </c>
      <c r="D52" t="e" cm="1" vm="1">
        <f t="array" aca="1" ref="D52" ca="1">[1]!ETER3.Ult</f>
        <v>#VALUE!</v>
      </c>
      <c r="E52" t="e" cm="1" vm="1">
        <f t="array" aca="1" ref="E52" ca="1">[1]!ETER3.VarPer</f>
        <v>#VALUE!</v>
      </c>
      <c r="F52" cm="1">
        <f t="array" ref="F52">[1]!ETER3.Hora</f>
        <v>0.74905092592592604</v>
      </c>
      <c r="G52" t="e" cm="1" vm="1">
        <f t="array" aca="1" ref="G52" ca="1">[1]!ETER3.VarSem</f>
        <v>#VALUE!</v>
      </c>
      <c r="H52" t="e" cm="1" vm="1">
        <f t="array" aca="1" ref="H52" ca="1">[1]!ETER3.VarMes</f>
        <v>#VALUE!</v>
      </c>
      <c r="I52" t="e" cm="1" vm="1">
        <f t="array" aca="1" ref="I52" ca="1">[1]!ETER3.Var12M</f>
        <v>#VALUE!</v>
      </c>
      <c r="J52" cm="1">
        <f t="array" ref="J52">[1]!ETER3.Vol</f>
        <v>7682223</v>
      </c>
      <c r="K52" cm="1">
        <f t="array" ref="K52">[1]!ETER3.QtdNeg</f>
        <v>2900</v>
      </c>
      <c r="L52" t="e" cm="1" vm="1">
        <f t="array" aca="1" ref="L52" ca="1">[1]!ETER3.Fech</f>
        <v>#VALUE!</v>
      </c>
      <c r="M52" cm="1">
        <f t="array" ref="M52">[1]!ETER3.IbovParticip</f>
        <v>0</v>
      </c>
      <c r="N52" t="str" cm="1">
        <f t="array" ref="N52">[1]!ETER3.Desc</f>
        <v>ETERNIT ON EJ NM</v>
      </c>
      <c r="O52" t="e" cm="1" vm="1">
        <f t="array" aca="1" ref="O52" ca="1">[1]!ETER3.VarAnual</f>
        <v>#VALUE!</v>
      </c>
      <c r="P52" cm="1">
        <f t="array" ref="P52">[1]!ETER3.Exerc</f>
        <v>0</v>
      </c>
      <c r="Q52" cm="1">
        <f t="array" ref="Q52">[1]!ETER3.Expir</f>
        <v>0</v>
      </c>
    </row>
    <row r="53" spans="1:17" x14ac:dyDescent="0.25">
      <c r="A53" t="str" cm="1">
        <f t="array" ref="A53">[1]!EZTC3.Estado</f>
        <v>Normal</v>
      </c>
      <c r="B53" cm="1">
        <f t="array" ref="B53">[1]!EZTC3.PreTeo</f>
        <v>0</v>
      </c>
      <c r="C53" t="s">
        <v>115</v>
      </c>
      <c r="D53" t="e" cm="1" vm="1">
        <f t="array" aca="1" ref="D53" ca="1">[1]!EZTC3.Ult</f>
        <v>#VALUE!</v>
      </c>
      <c r="E53" t="e" cm="1" vm="1">
        <f t="array" aca="1" ref="E53" ca="1">[1]!EZTC3.VarPer</f>
        <v>#VALUE!</v>
      </c>
      <c r="F53" cm="1">
        <f t="array" ref="F53">[1]!EZTC3.Hora</f>
        <v>0.74675925925925923</v>
      </c>
      <c r="G53" t="e" cm="1" vm="1">
        <f t="array" aca="1" ref="G53" ca="1">[1]!EZTC3.VarSem</f>
        <v>#VALUE!</v>
      </c>
      <c r="H53" t="e" cm="1" vm="1">
        <f t="array" aca="1" ref="H53" ca="1">[1]!EZTC3.VarMes</f>
        <v>#VALUE!</v>
      </c>
      <c r="I53" t="e" cm="1" vm="1">
        <f t="array" aca="1" ref="I53" ca="1">[1]!EZTC3.Var12M</f>
        <v>#VALUE!</v>
      </c>
      <c r="J53" cm="1">
        <f t="array" ref="J53">[1]!EZTC3.Vol</f>
        <v>23095312</v>
      </c>
      <c r="K53" cm="1">
        <f t="array" ref="K53">[1]!EZTC3.QtdNeg</f>
        <v>6579</v>
      </c>
      <c r="L53" t="e" cm="1" vm="1">
        <f t="array" aca="1" ref="L53" ca="1">[1]!EZTC3.Fech</f>
        <v>#VALUE!</v>
      </c>
      <c r="M53" t="e" cm="1" vm="1">
        <f t="array" aca="1" ref="M53" ca="1">[1]!EZTC3.IbovParticip</f>
        <v>#VALUE!</v>
      </c>
      <c r="N53" t="str" cm="1">
        <f t="array" ref="N53">[1]!EZTC3.Desc</f>
        <v>EZTEC ON ED NM</v>
      </c>
      <c r="O53" t="e" cm="1" vm="1">
        <f t="array" aca="1" ref="O53" ca="1">[1]!EZTC3.VarAnual</f>
        <v>#VALUE!</v>
      </c>
      <c r="P53" cm="1">
        <f t="array" ref="P53">[1]!EZTC3.Exerc</f>
        <v>0</v>
      </c>
      <c r="Q53" cm="1">
        <f t="array" ref="Q53">[1]!EZTC3.Expir</f>
        <v>0</v>
      </c>
    </row>
    <row r="54" spans="1:17" x14ac:dyDescent="0.25">
      <c r="A54" t="str" cm="1">
        <f t="array" ref="A54">[1]!FHER3.Estado</f>
        <v>Normal</v>
      </c>
      <c r="B54" cm="1">
        <f t="array" ref="B54">[1]!FHER3.PreTeo</f>
        <v>0</v>
      </c>
      <c r="C54" t="s">
        <v>116</v>
      </c>
      <c r="D54" t="e" cm="1" vm="1">
        <f t="array" aca="1" ref="D54" ca="1">[1]!FHER3.Ult</f>
        <v>#VALUE!</v>
      </c>
      <c r="E54" t="e" cm="1" vm="1">
        <f t="array" aca="1" ref="E54" ca="1">[1]!FHER3.VarPer</f>
        <v>#VALUE!</v>
      </c>
      <c r="F54" cm="1">
        <f t="array" ref="F54">[1]!FHER3.Hora</f>
        <v>0.74826388888888884</v>
      </c>
      <c r="G54" t="e" cm="1" vm="1">
        <f t="array" aca="1" ref="G54" ca="1">[1]!FHER3.VarSem</f>
        <v>#VALUE!</v>
      </c>
      <c r="H54" t="e" cm="1" vm="1">
        <f t="array" aca="1" ref="H54" ca="1">[1]!FHER3.VarMes</f>
        <v>#VALUE!</v>
      </c>
      <c r="I54" t="e" cm="1" vm="1">
        <f t="array" aca="1" ref="I54" ca="1">[1]!FHER3.Var12M</f>
        <v>#VALUE!</v>
      </c>
      <c r="J54" cm="1">
        <f t="array" ref="J54">[1]!FHER3.Vol</f>
        <v>8452053</v>
      </c>
      <c r="K54" cm="1">
        <f t="array" ref="K54">[1]!FHER3.QtdNeg</f>
        <v>1899</v>
      </c>
      <c r="L54" t="e" cm="1" vm="1">
        <f t="array" aca="1" ref="L54" ca="1">[1]!FHER3.Fech</f>
        <v>#VALUE!</v>
      </c>
      <c r="M54" cm="1">
        <f t="array" ref="M54">[1]!FHER3.IbovParticip</f>
        <v>0</v>
      </c>
      <c r="N54" t="str" cm="1">
        <f t="array" ref="N54">[1]!FHER3.Desc</f>
        <v>FER HERINGERON NM</v>
      </c>
      <c r="O54" t="e" cm="1" vm="1">
        <f t="array" aca="1" ref="O54" ca="1">[1]!FHER3.VarAnual</f>
        <v>#VALUE!</v>
      </c>
      <c r="P54" cm="1">
        <f t="array" ref="P54">[1]!FHER3.Exerc</f>
        <v>0</v>
      </c>
      <c r="Q54" cm="1">
        <f t="array" ref="Q54">[1]!FHER3.Expir</f>
        <v>0</v>
      </c>
    </row>
    <row r="55" spans="1:17" x14ac:dyDescent="0.25">
      <c r="A55" t="str" cm="1">
        <f t="array" ref="A55">[1]!FLRY3.Estado</f>
        <v>Normal</v>
      </c>
      <c r="B55" cm="1">
        <f t="array" ref="B55">[1]!FLRY3.PreTeo</f>
        <v>0</v>
      </c>
      <c r="C55" t="s">
        <v>117</v>
      </c>
      <c r="D55" t="e" cm="1" vm="1">
        <f t="array" aca="1" ref="D55" ca="1">[1]!FLRY3.Ult</f>
        <v>#VALUE!</v>
      </c>
      <c r="E55" t="e" cm="1" vm="1">
        <f t="array" aca="1" ref="E55" ca="1">[1]!FLRY3.VarPer</f>
        <v>#VALUE!</v>
      </c>
      <c r="F55" cm="1">
        <f t="array" ref="F55">[1]!FLRY3.Hora</f>
        <v>0.74758101851851855</v>
      </c>
      <c r="G55" t="e" cm="1" vm="1">
        <f t="array" aca="1" ref="G55" ca="1">[1]!FLRY3.VarSem</f>
        <v>#VALUE!</v>
      </c>
      <c r="H55" t="e" cm="1" vm="1">
        <f t="array" aca="1" ref="H55" ca="1">[1]!FLRY3.VarMes</f>
        <v>#VALUE!</v>
      </c>
      <c r="I55" t="e" cm="1" vm="1">
        <f t="array" aca="1" ref="I55" ca="1">[1]!FLRY3.Var12M</f>
        <v>#VALUE!</v>
      </c>
      <c r="J55" cm="1">
        <f t="array" ref="J55">[1]!FLRY3.Vol</f>
        <v>15135544</v>
      </c>
      <c r="K55" cm="1">
        <f t="array" ref="K55">[1]!FLRY3.QtdNeg</f>
        <v>4250</v>
      </c>
      <c r="L55" t="e" cm="1" vm="1">
        <f t="array" aca="1" ref="L55" ca="1">[1]!FLRY3.Fech</f>
        <v>#VALUE!</v>
      </c>
      <c r="M55" t="e" cm="1" vm="1">
        <f t="array" aca="1" ref="M55" ca="1">[1]!FLRY3.IbovParticip</f>
        <v>#VALUE!</v>
      </c>
      <c r="N55" t="str" cm="1">
        <f t="array" ref="N55">[1]!FLRY3.Desc</f>
        <v>FLEURY ON NM</v>
      </c>
      <c r="O55" t="e" cm="1" vm="1">
        <f t="array" aca="1" ref="O55" ca="1">[1]!FLRY3.VarAnual</f>
        <v>#VALUE!</v>
      </c>
      <c r="P55" cm="1">
        <f t="array" ref="P55">[1]!FLRY3.Exerc</f>
        <v>0</v>
      </c>
      <c r="Q55" cm="1">
        <f t="array" ref="Q55">[1]!FLRY3.Expir</f>
        <v>0</v>
      </c>
    </row>
    <row r="56" spans="1:17" x14ac:dyDescent="0.25">
      <c r="A56" t="str" cm="1">
        <f t="array" ref="A56">[1]!GGBR4.Estado</f>
        <v>Normal</v>
      </c>
      <c r="B56" cm="1">
        <f t="array" ref="B56">[1]!GGBR4.PreTeo</f>
        <v>0</v>
      </c>
      <c r="C56" t="s">
        <v>118</v>
      </c>
      <c r="D56" t="e" cm="1" vm="1">
        <f t="array" aca="1" ref="D56" ca="1">[1]!GGBR4.Ult</f>
        <v>#VALUE!</v>
      </c>
      <c r="E56" t="e" cm="1" vm="1">
        <f t="array" aca="1" ref="E56" ca="1">[1]!GGBR4.VarPer</f>
        <v>#VALUE!</v>
      </c>
      <c r="F56" cm="1">
        <f t="array" ref="F56">[1]!GGBR4.Hora</f>
        <v>0.74994212962962958</v>
      </c>
      <c r="G56" t="e" cm="1" vm="1">
        <f t="array" aca="1" ref="G56" ca="1">[1]!GGBR4.VarSem</f>
        <v>#VALUE!</v>
      </c>
      <c r="H56" t="e" cm="1" vm="1">
        <f t="array" aca="1" ref="H56" ca="1">[1]!GGBR4.VarMes</f>
        <v>#VALUE!</v>
      </c>
      <c r="I56" t="e" cm="1" vm="1">
        <f t="array" aca="1" ref="I56" ca="1">[1]!GGBR4.Var12M</f>
        <v>#VALUE!</v>
      </c>
      <c r="J56" cm="1">
        <f t="array" ref="J56">[1]!GGBR4.Vol</f>
        <v>279300128</v>
      </c>
      <c r="K56" cm="1">
        <f t="array" ref="K56">[1]!GGBR4.QtdNeg</f>
        <v>27722</v>
      </c>
      <c r="L56" t="e" cm="1" vm="1">
        <f t="array" aca="1" ref="L56" ca="1">[1]!GGBR4.Fech</f>
        <v>#VALUE!</v>
      </c>
      <c r="M56" t="e" cm="1" vm="1">
        <f t="array" aca="1" ref="M56" ca="1">[1]!GGBR4.IbovParticip</f>
        <v>#VALUE!</v>
      </c>
      <c r="N56" t="str" cm="1">
        <f t="array" ref="N56">[1]!GGBR4.Desc</f>
        <v>GERDAU PN ED N1</v>
      </c>
      <c r="O56" t="e" cm="1" vm="1">
        <f t="array" aca="1" ref="O56" ca="1">[1]!GGBR4.VarAnual</f>
        <v>#VALUE!</v>
      </c>
      <c r="P56" cm="1">
        <f t="array" ref="P56">[1]!GGBR4.Exerc</f>
        <v>0</v>
      </c>
      <c r="Q56" cm="1">
        <f t="array" ref="Q56">[1]!GGBR4.Expir</f>
        <v>0</v>
      </c>
    </row>
    <row r="57" spans="1:17" x14ac:dyDescent="0.25">
      <c r="A57" t="str" cm="1">
        <f t="array" ref="A57">[1]!GMAT3.Estado</f>
        <v>Normal</v>
      </c>
      <c r="B57" cm="1">
        <f t="array" ref="B57">[1]!GMAT3.PreTeo</f>
        <v>0</v>
      </c>
      <c r="C57" t="s">
        <v>119</v>
      </c>
      <c r="D57" t="e" cm="1" vm="1">
        <f t="array" aca="1" ref="D57" ca="1">[1]!GMAT3.Ult</f>
        <v>#VALUE!</v>
      </c>
      <c r="E57" t="e" cm="1" vm="1">
        <f t="array" aca="1" ref="E57" ca="1">[1]!GMAT3.VarPer</f>
        <v>#VALUE!</v>
      </c>
      <c r="F57" cm="1">
        <f t="array" ref="F57">[1]!GMAT3.Hora</f>
        <v>0.74980324074074067</v>
      </c>
      <c r="G57" t="e" cm="1" vm="1">
        <f t="array" aca="1" ref="G57" ca="1">[1]!GMAT3.VarSem</f>
        <v>#VALUE!</v>
      </c>
      <c r="H57" t="e" cm="1" vm="1">
        <f t="array" aca="1" ref="H57" ca="1">[1]!GMAT3.VarMes</f>
        <v>#VALUE!</v>
      </c>
      <c r="I57" t="e" cm="1" vm="1">
        <f t="array" aca="1" ref="I57" ca="1">[1]!GMAT3.Var12M</f>
        <v>#VALUE!</v>
      </c>
      <c r="J57" cm="1">
        <f t="array" ref="J57">[1]!GMAT3.Vol</f>
        <v>48142906</v>
      </c>
      <c r="K57" cm="1">
        <f t="array" ref="K57">[1]!GMAT3.QtdNeg</f>
        <v>16028</v>
      </c>
      <c r="L57" t="e" cm="1" vm="1">
        <f t="array" aca="1" ref="L57" ca="1">[1]!GMAT3.Fech</f>
        <v>#VALUE!</v>
      </c>
      <c r="M57" cm="1">
        <f t="array" ref="M57">[1]!GMAT3.IbovParticip</f>
        <v>0</v>
      </c>
      <c r="N57" t="str" cm="1">
        <f t="array" ref="N57">[1]!GMAT3.Desc</f>
        <v>GRUPO MATEUSON NM</v>
      </c>
      <c r="O57" t="e" cm="1" vm="1">
        <f t="array" aca="1" ref="O57" ca="1">[1]!GMAT3.VarAnual</f>
        <v>#VALUE!</v>
      </c>
      <c r="P57" cm="1">
        <f t="array" ref="P57">[1]!GMAT3.Exerc</f>
        <v>0</v>
      </c>
      <c r="Q57" cm="1">
        <f t="array" ref="Q57">[1]!GMAT3.Expir</f>
        <v>0</v>
      </c>
    </row>
    <row r="58" spans="1:17" x14ac:dyDescent="0.25">
      <c r="A58" t="str" cm="1">
        <f t="array" ref="A58">[1]!GMCO34.Estado</f>
        <v>Normal</v>
      </c>
      <c r="B58" cm="1">
        <f t="array" ref="B58">[1]!GMCO34.PreTeo</f>
        <v>0</v>
      </c>
      <c r="C58" t="s">
        <v>120</v>
      </c>
      <c r="D58" t="e" cm="1" vm="1">
        <f t="array" aca="1" ref="D58" ca="1">[1]!GMCO34.Ult</f>
        <v>#VALUE!</v>
      </c>
      <c r="E58" t="e" cm="1" vm="1">
        <f t="array" aca="1" ref="E58" ca="1">[1]!GMCO34.VarPer</f>
        <v>#VALUE!</v>
      </c>
      <c r="F58" cm="1">
        <f t="array" ref="F58">[1]!GMCO34.Hora</f>
        <v>0.70325231481481476</v>
      </c>
      <c r="G58" t="e" cm="1" vm="1">
        <f t="array" aca="1" ref="G58" ca="1">[1]!GMCO34.VarSem</f>
        <v>#VALUE!</v>
      </c>
      <c r="H58" t="e" cm="1" vm="1">
        <f t="array" aca="1" ref="H58" ca="1">[1]!GMCO34.VarMes</f>
        <v>#VALUE!</v>
      </c>
      <c r="I58" t="e" cm="1" vm="1">
        <f t="array" aca="1" ref="I58" ca="1">[1]!GMCO34.Var12M</f>
        <v>#VALUE!</v>
      </c>
      <c r="J58" cm="1">
        <f t="array" ref="J58">[1]!GMCO34.Vol</f>
        <v>313452</v>
      </c>
      <c r="K58" cm="1">
        <f t="array" ref="K58">[1]!GMCO34.QtdNeg</f>
        <v>37</v>
      </c>
      <c r="L58" t="e" cm="1" vm="1">
        <f t="array" aca="1" ref="L58" ca="1">[1]!GMCO34.Fech</f>
        <v>#VALUE!</v>
      </c>
      <c r="M58" cm="1">
        <f t="array" ref="M58">[1]!GMCO34.IbovParticip</f>
        <v>0</v>
      </c>
      <c r="N58" t="str" cm="1">
        <f t="array" ref="N58">[1]!GMCO34.Desc</f>
        <v>GENERAL MOT DRN</v>
      </c>
      <c r="O58" t="e" cm="1" vm="1">
        <f t="array" aca="1" ref="O58" ca="1">[1]!GMCO34.VarAnual</f>
        <v>#VALUE!</v>
      </c>
      <c r="P58" cm="1">
        <f t="array" ref="P58">[1]!GMCO34.Exerc</f>
        <v>0</v>
      </c>
      <c r="Q58" cm="1">
        <f t="array" ref="Q58">[1]!GMCO34.Expir</f>
        <v>0</v>
      </c>
    </row>
    <row r="59" spans="1:17" x14ac:dyDescent="0.25">
      <c r="A59" t="str" cm="1">
        <f t="array" ref="A59">[1]!GOAU4.Estado</f>
        <v>Normal</v>
      </c>
      <c r="B59" cm="1">
        <f t="array" ref="B59">[1]!GOAU4.PreTeo</f>
        <v>0</v>
      </c>
      <c r="C59" t="s">
        <v>121</v>
      </c>
      <c r="D59" t="e" cm="1" vm="1">
        <f t="array" aca="1" ref="D59" ca="1">[1]!GOAU4.Ult</f>
        <v>#VALUE!</v>
      </c>
      <c r="E59" t="e" cm="1" vm="1">
        <f t="array" aca="1" ref="E59" ca="1">[1]!GOAU4.VarPer</f>
        <v>#VALUE!</v>
      </c>
      <c r="F59" cm="1">
        <f t="array" ref="F59">[1]!GOAU4.Hora</f>
        <v>0.74909722222222219</v>
      </c>
      <c r="G59" t="e" cm="1" vm="1">
        <f t="array" aca="1" ref="G59" ca="1">[1]!GOAU4.VarSem</f>
        <v>#VALUE!</v>
      </c>
      <c r="H59" t="e" cm="1" vm="1">
        <f t="array" aca="1" ref="H59" ca="1">[1]!GOAU4.VarMes</f>
        <v>#VALUE!</v>
      </c>
      <c r="I59" t="e" cm="1" vm="1">
        <f t="array" aca="1" ref="I59" ca="1">[1]!GOAU4.Var12M</f>
        <v>#VALUE!</v>
      </c>
      <c r="J59" cm="1">
        <f t="array" ref="J59">[1]!GOAU4.Vol</f>
        <v>49656452</v>
      </c>
      <c r="K59" cm="1">
        <f t="array" ref="K59">[1]!GOAU4.QtdNeg</f>
        <v>9316</v>
      </c>
      <c r="L59" t="e" cm="1" vm="1">
        <f t="array" aca="1" ref="L59" ca="1">[1]!GOAU4.Fech</f>
        <v>#VALUE!</v>
      </c>
      <c r="M59" t="e" cm="1" vm="1">
        <f t="array" aca="1" ref="M59" ca="1">[1]!GOAU4.IbovParticip</f>
        <v>#VALUE!</v>
      </c>
      <c r="N59" t="str" cm="1">
        <f t="array" ref="N59">[1]!GOAU4.Desc</f>
        <v>GERDAU MET PN ED N1</v>
      </c>
      <c r="O59" t="e" cm="1" vm="1">
        <f t="array" aca="1" ref="O59" ca="1">[1]!GOAU4.VarAnual</f>
        <v>#VALUE!</v>
      </c>
      <c r="P59" cm="1">
        <f t="array" ref="P59">[1]!GOAU4.Exerc</f>
        <v>0</v>
      </c>
      <c r="Q59" cm="1">
        <f t="array" ref="Q59">[1]!GOAU4.Expir</f>
        <v>0</v>
      </c>
    </row>
    <row r="60" spans="1:17" x14ac:dyDescent="0.25">
      <c r="A60" t="str" cm="1">
        <f t="array" ref="A60">[1]!GOGL34.Estado</f>
        <v>Normal</v>
      </c>
      <c r="B60" cm="1">
        <f t="array" ref="B60">[1]!GOGL34.PreTeo</f>
        <v>0</v>
      </c>
      <c r="C60" t="s">
        <v>122</v>
      </c>
      <c r="D60" t="e" cm="1" vm="1">
        <f t="array" aca="1" ref="D60" ca="1">[1]!GOGL34.Ult</f>
        <v>#VALUE!</v>
      </c>
      <c r="E60" t="e" cm="1" vm="1">
        <f t="array" aca="1" ref="E60" ca="1">[1]!GOGL34.VarPer</f>
        <v>#VALUE!</v>
      </c>
      <c r="F60" cm="1">
        <f t="array" ref="F60">[1]!GOGL34.Hora</f>
        <v>0.74979166666666675</v>
      </c>
      <c r="G60" t="e" cm="1" vm="1">
        <f t="array" aca="1" ref="G60" ca="1">[1]!GOGL34.VarSem</f>
        <v>#VALUE!</v>
      </c>
      <c r="H60" cm="1">
        <f t="array" ref="H60">[1]!GOGL34.VarMes</f>
        <v>-1</v>
      </c>
      <c r="I60" t="e" cm="1" vm="1">
        <f t="array" aca="1" ref="I60" ca="1">[1]!GOGL34.Var12M</f>
        <v>#VALUE!</v>
      </c>
      <c r="J60" cm="1">
        <f t="array" ref="J60">[1]!GOGL34.Vol</f>
        <v>13882014</v>
      </c>
      <c r="K60" cm="1">
        <f t="array" ref="K60">[1]!GOGL34.QtdNeg</f>
        <v>4561</v>
      </c>
      <c r="L60" t="e" cm="1" vm="1">
        <f t="array" aca="1" ref="L60" ca="1">[1]!GOGL34.Fech</f>
        <v>#VALUE!</v>
      </c>
      <c r="M60" cm="1">
        <f t="array" ref="M60">[1]!GOGL34.IbovParticip</f>
        <v>0</v>
      </c>
      <c r="N60" t="str" cm="1">
        <f t="array" ref="N60">[1]!GOGL34.Desc</f>
        <v>ALPHABET DRN A</v>
      </c>
      <c r="O60" t="e" cm="1" vm="1">
        <f t="array" aca="1" ref="O60" ca="1">[1]!GOGL34.VarAnual</f>
        <v>#VALUE!</v>
      </c>
      <c r="P60" cm="1">
        <f t="array" ref="P60">[1]!GOGL34.Exerc</f>
        <v>0</v>
      </c>
      <c r="Q60" cm="1">
        <f t="array" ref="Q60">[1]!GOGL34.Expir</f>
        <v>0</v>
      </c>
    </row>
    <row r="61" spans="1:17" x14ac:dyDescent="0.25">
      <c r="A61" t="str" cm="1">
        <f t="array" ref="A61">[1]!GOLL4.Estado</f>
        <v>Normal</v>
      </c>
      <c r="B61" cm="1">
        <f t="array" ref="B61">[1]!GOLL4.PreTeo</f>
        <v>0</v>
      </c>
      <c r="C61" t="s">
        <v>7</v>
      </c>
      <c r="D61" t="e" cm="1" vm="1">
        <f t="array" aca="1" ref="D61" ca="1">[1]!GOLL4.Ult</f>
        <v>#VALUE!</v>
      </c>
      <c r="E61" t="e" cm="1" vm="1">
        <f t="array" aca="1" ref="E61" ca="1">[1]!GOLL4.VarPer</f>
        <v>#VALUE!</v>
      </c>
      <c r="F61" cm="1">
        <f t="array" ref="F61">[1]!GOLL4.Hora</f>
        <v>0.74899305555555562</v>
      </c>
      <c r="G61" t="e" cm="1" vm="1">
        <f t="array" aca="1" ref="G61" ca="1">[1]!GOLL4.VarSem</f>
        <v>#VALUE!</v>
      </c>
      <c r="H61" t="e" cm="1" vm="1">
        <f t="array" aca="1" ref="H61" ca="1">[1]!GOLL4.VarMes</f>
        <v>#VALUE!</v>
      </c>
      <c r="I61" t="e" cm="1" vm="1">
        <f t="array" aca="1" ref="I61" ca="1">[1]!GOLL4.Var12M</f>
        <v>#VALUE!</v>
      </c>
      <c r="J61" cm="1">
        <f t="array" ref="J61">[1]!GOLL4.Vol</f>
        <v>64100796</v>
      </c>
      <c r="K61" cm="1">
        <f t="array" ref="K61">[1]!GOLL4.QtdNeg</f>
        <v>8973</v>
      </c>
      <c r="L61" t="e" cm="1" vm="1">
        <f t="array" aca="1" ref="L61" ca="1">[1]!GOLL4.Fech</f>
        <v>#VALUE!</v>
      </c>
      <c r="M61" t="e" cm="1" vm="1">
        <f t="array" aca="1" ref="M61" ca="1">[1]!GOLL4.IbovParticip</f>
        <v>#VALUE!</v>
      </c>
      <c r="N61" t="str" cm="1">
        <f t="array" ref="N61">[1]!GOLL4.Desc</f>
        <v>GOL PN N2</v>
      </c>
      <c r="O61" t="e" cm="1" vm="1">
        <f t="array" aca="1" ref="O61" ca="1">[1]!GOLL4.VarAnual</f>
        <v>#VALUE!</v>
      </c>
      <c r="P61" cm="1">
        <f t="array" ref="P61">[1]!GOLL4.Exerc</f>
        <v>0</v>
      </c>
      <c r="Q61" cm="1">
        <f t="array" ref="Q61">[1]!GOLL4.Expir</f>
        <v>0</v>
      </c>
    </row>
    <row r="62" spans="1:17" x14ac:dyDescent="0.25">
      <c r="A62" t="str" cm="1">
        <f t="array" ref="A62">[1]!HAPV3.Estado</f>
        <v>Normal</v>
      </c>
      <c r="B62" cm="1">
        <f t="array" ref="B62">[1]!HAPV3.PreTeo</f>
        <v>0</v>
      </c>
      <c r="C62" t="s">
        <v>123</v>
      </c>
      <c r="D62" t="e" cm="1" vm="1">
        <f t="array" aca="1" ref="D62" ca="1">[1]!HAPV3.Ult</f>
        <v>#VALUE!</v>
      </c>
      <c r="E62" t="e" cm="1" vm="1">
        <f t="array" aca="1" ref="E62" ca="1">[1]!HAPV3.VarPer</f>
        <v>#VALUE!</v>
      </c>
      <c r="F62" cm="1">
        <f t="array" ref="F62">[1]!HAPV3.Hora</f>
        <v>0.74974537037037037</v>
      </c>
      <c r="G62" t="e" cm="1" vm="1">
        <f t="array" aca="1" ref="G62" ca="1">[1]!HAPV3.VarSem</f>
        <v>#VALUE!</v>
      </c>
      <c r="H62" t="e" cm="1" vm="1">
        <f t="array" aca="1" ref="H62" ca="1">[1]!HAPV3.VarMes</f>
        <v>#VALUE!</v>
      </c>
      <c r="I62" t="e" cm="1" vm="1">
        <f t="array" aca="1" ref="I62" ca="1">[1]!HAPV3.Var12M</f>
        <v>#VALUE!</v>
      </c>
      <c r="J62" cm="1">
        <f t="array" ref="J62">[1]!HAPV3.Vol</f>
        <v>310529532</v>
      </c>
      <c r="K62" cm="1">
        <f t="array" ref="K62">[1]!HAPV3.QtdNeg</f>
        <v>31618</v>
      </c>
      <c r="L62" t="e" cm="1" vm="1">
        <f t="array" aca="1" ref="L62" ca="1">[1]!HAPV3.Fech</f>
        <v>#VALUE!</v>
      </c>
      <c r="M62" t="e" cm="1" vm="1">
        <f t="array" aca="1" ref="M62" ca="1">[1]!HAPV3.IbovParticip</f>
        <v>#VALUE!</v>
      </c>
      <c r="N62" t="str" cm="1">
        <f t="array" ref="N62">[1]!HAPV3.Desc</f>
        <v>HAPVIDA ON NM</v>
      </c>
      <c r="O62" t="e" cm="1" vm="1">
        <f t="array" aca="1" ref="O62" ca="1">[1]!HAPV3.VarAnual</f>
        <v>#VALUE!</v>
      </c>
      <c r="P62" cm="1">
        <f t="array" ref="P62">[1]!HAPV3.Exerc</f>
        <v>0</v>
      </c>
      <c r="Q62" cm="1">
        <f t="array" ref="Q62">[1]!HAPV3.Expir</f>
        <v>0</v>
      </c>
    </row>
    <row r="63" spans="1:17" x14ac:dyDescent="0.25">
      <c r="A63" t="str" cm="1">
        <f t="array" ref="A63">[1]!HBSA3.Estado</f>
        <v>Normal</v>
      </c>
      <c r="B63" cm="1">
        <f t="array" ref="B63">[1]!HBSA3.PreTeo</f>
        <v>0</v>
      </c>
      <c r="C63" t="s">
        <v>124</v>
      </c>
      <c r="D63" t="e" cm="1" vm="1">
        <f t="array" aca="1" ref="D63" ca="1">[1]!HBSA3.Ult</f>
        <v>#VALUE!</v>
      </c>
      <c r="E63" t="e" cm="1" vm="1">
        <f t="array" aca="1" ref="E63" ca="1">[1]!HBSA3.VarPer</f>
        <v>#VALUE!</v>
      </c>
      <c r="F63" cm="1">
        <f t="array" ref="F63">[1]!HBSA3.Hora</f>
        <v>0.73883101851851851</v>
      </c>
      <c r="G63" t="e" cm="1" vm="1">
        <f t="array" aca="1" ref="G63" ca="1">[1]!HBSA3.VarSem</f>
        <v>#VALUE!</v>
      </c>
      <c r="H63" t="e" cm="1" vm="1">
        <f t="array" aca="1" ref="H63" ca="1">[1]!HBSA3.VarMes</f>
        <v>#VALUE!</v>
      </c>
      <c r="I63" t="e" cm="1" vm="1">
        <f t="array" aca="1" ref="I63" ca="1">[1]!HBSA3.Var12M</f>
        <v>#VALUE!</v>
      </c>
      <c r="J63" cm="1">
        <f t="array" ref="J63">[1]!HBSA3.Vol</f>
        <v>13694285</v>
      </c>
      <c r="K63" cm="1">
        <f t="array" ref="K63">[1]!HBSA3.QtdNeg</f>
        <v>10613</v>
      </c>
      <c r="L63" t="e" cm="1" vm="1">
        <f t="array" aca="1" ref="L63" ca="1">[1]!HBSA3.Fech</f>
        <v>#VALUE!</v>
      </c>
      <c r="M63" cm="1">
        <f t="array" ref="M63">[1]!HBSA3.IbovParticip</f>
        <v>0</v>
      </c>
      <c r="N63" t="str" cm="1">
        <f t="array" ref="N63">[1]!HBSA3.Desc</f>
        <v>HIDROVIAS ON NM</v>
      </c>
      <c r="O63" t="e" cm="1" vm="1">
        <f t="array" aca="1" ref="O63" ca="1">[1]!HBSA3.VarAnual</f>
        <v>#VALUE!</v>
      </c>
      <c r="P63" cm="1">
        <f t="array" ref="P63">[1]!HBSA3.Exerc</f>
        <v>0</v>
      </c>
      <c r="Q63" cm="1">
        <f t="array" ref="Q63">[1]!HBSA3.Expir</f>
        <v>0</v>
      </c>
    </row>
    <row r="64" spans="1:17" x14ac:dyDescent="0.25">
      <c r="A64" t="str" cm="1">
        <f t="array" ref="A64">[1]!HYPE3.Estado</f>
        <v>Normal</v>
      </c>
      <c r="B64" cm="1">
        <f t="array" ref="B64">[1]!HYPE3.PreTeo</f>
        <v>0</v>
      </c>
      <c r="C64" t="s">
        <v>125</v>
      </c>
      <c r="D64" t="e" cm="1" vm="1">
        <f t="array" aca="1" ref="D64" ca="1">[1]!HYPE3.Ult</f>
        <v>#VALUE!</v>
      </c>
      <c r="E64" t="e" cm="1" vm="1">
        <f t="array" aca="1" ref="E64" ca="1">[1]!HYPE3.VarPer</f>
        <v>#VALUE!</v>
      </c>
      <c r="F64" cm="1">
        <f t="array" ref="F64">[1]!HYPE3.Hora</f>
        <v>0.74997685185185192</v>
      </c>
      <c r="G64" t="e" cm="1" vm="1">
        <f t="array" aca="1" ref="G64" ca="1">[1]!HYPE3.VarSem</f>
        <v>#VALUE!</v>
      </c>
      <c r="H64" t="e" cm="1" vm="1">
        <f t="array" aca="1" ref="H64" ca="1">[1]!HYPE3.VarMes</f>
        <v>#VALUE!</v>
      </c>
      <c r="I64" t="e" cm="1" vm="1">
        <f t="array" aca="1" ref="I64" ca="1">[1]!HYPE3.Var12M</f>
        <v>#VALUE!</v>
      </c>
      <c r="J64" cm="1">
        <f t="array" ref="J64">[1]!HYPE3.Vol</f>
        <v>110493950</v>
      </c>
      <c r="K64" cm="1">
        <f t="array" ref="K64">[1]!HYPE3.QtdNeg</f>
        <v>11635</v>
      </c>
      <c r="L64" t="e" cm="1" vm="1">
        <f t="array" aca="1" ref="L64" ca="1">[1]!HYPE3.Fech</f>
        <v>#VALUE!</v>
      </c>
      <c r="M64" t="e" cm="1" vm="1">
        <f t="array" aca="1" ref="M64" ca="1">[1]!HYPE3.IbovParticip</f>
        <v>#VALUE!</v>
      </c>
      <c r="N64" t="str" cm="1">
        <f t="array" ref="N64">[1]!HYPE3.Desc</f>
        <v>HYPERA ON NM</v>
      </c>
      <c r="O64" t="e" cm="1" vm="1">
        <f t="array" aca="1" ref="O64" ca="1">[1]!HYPE3.VarAnual</f>
        <v>#VALUE!</v>
      </c>
      <c r="P64" cm="1">
        <f t="array" ref="P64">[1]!HYPE3.Exerc</f>
        <v>0</v>
      </c>
      <c r="Q64" cm="1">
        <f t="array" ref="Q64">[1]!HYPE3.Expir</f>
        <v>0</v>
      </c>
    </row>
    <row r="65" spans="1:17" x14ac:dyDescent="0.25">
      <c r="A65" t="str" cm="1">
        <f t="array" ref="A65">[1]!IBOV.Estado</f>
        <v>Normal</v>
      </c>
      <c r="B65" cm="1">
        <f t="array" ref="B65">[1]!IBOV.PreTeo</f>
        <v>0</v>
      </c>
      <c r="C65" t="s">
        <v>126</v>
      </c>
      <c r="D65" t="e" cm="1" vm="1">
        <f t="array" aca="1" ref="D65" ca="1">[1]!IBOV.Ult</f>
        <v>#VALUE!</v>
      </c>
      <c r="E65" t="e" cm="1" vm="1">
        <f t="array" aca="1" ref="E65" ca="1">[1]!IBOV.VarPer</f>
        <v>#VALUE!</v>
      </c>
      <c r="F65" cm="1">
        <f t="array" ref="F65">[1]!IBOV.Hora</f>
        <v>0.72152777777777777</v>
      </c>
      <c r="G65" t="e" cm="1" vm="1">
        <f t="array" aca="1" ref="G65" ca="1">[1]!IBOV.VarSem</f>
        <v>#VALUE!</v>
      </c>
      <c r="H65" t="e" cm="1" vm="1">
        <f t="array" aca="1" ref="H65" ca="1">[1]!IBOV.VarMes</f>
        <v>#VALUE!</v>
      </c>
      <c r="I65" t="e" cm="1" vm="1">
        <f t="array" aca="1" ref="I65" ca="1">[1]!IBOV.Var12M</f>
        <v>#VALUE!</v>
      </c>
      <c r="J65" cm="1">
        <f t="array" ref="J65">[1]!IBOV.Vol</f>
        <v>17709421287</v>
      </c>
      <c r="K65" cm="1">
        <f t="array" ref="K65">[1]!IBOV.QtdNeg</f>
        <v>1670039</v>
      </c>
      <c r="L65" t="e" cm="1" vm="1">
        <f t="array" aca="1" ref="L65" ca="1">[1]!IBOV.Fech</f>
        <v>#VALUE!</v>
      </c>
      <c r="M65" cm="1">
        <f t="array" ref="M65">[1]!IBOV.IbovParticip</f>
        <v>0</v>
      </c>
      <c r="N65" t="str" cm="1">
        <f t="array" ref="N65">[1]!IBOV.Desc</f>
        <v>IBOVESPA</v>
      </c>
      <c r="O65" t="e" cm="1" vm="1">
        <f t="array" aca="1" ref="O65" ca="1">[1]!IBOV.VarAnual</f>
        <v>#VALUE!</v>
      </c>
      <c r="P65" cm="1">
        <f t="array" ref="P65">[1]!IBOV.Exerc</f>
        <v>0</v>
      </c>
      <c r="Q65" cm="1">
        <f t="array" ref="Q65">[1]!IBOV.Expir</f>
        <v>0</v>
      </c>
    </row>
    <row r="66" spans="1:17" x14ac:dyDescent="0.25">
      <c r="A66" t="str" cm="1">
        <f t="array" ref="A66">[1]!IGTI11.Estado</f>
        <v>Normal</v>
      </c>
      <c r="B66" cm="1">
        <f t="array" ref="B66">[1]!IGTI11.PreTeo</f>
        <v>0</v>
      </c>
      <c r="C66" t="s">
        <v>127</v>
      </c>
      <c r="D66" t="e" cm="1" vm="1">
        <f t="array" aca="1" ref="D66" ca="1">[1]!IGTI11.Ult</f>
        <v>#VALUE!</v>
      </c>
      <c r="E66" t="e" cm="1" vm="1">
        <f t="array" aca="1" ref="E66" ca="1">[1]!IGTI11.VarPer</f>
        <v>#VALUE!</v>
      </c>
      <c r="F66" cm="1">
        <f t="array" ref="F66">[1]!IGTI11.Hora</f>
        <v>0.74986111111111109</v>
      </c>
      <c r="G66" t="e" cm="1" vm="1">
        <f t="array" aca="1" ref="G66" ca="1">[1]!IGTI11.VarSem</f>
        <v>#VALUE!</v>
      </c>
      <c r="H66" t="e" cm="1" vm="1">
        <f t="array" aca="1" ref="H66" ca="1">[1]!IGTI11.VarMes</f>
        <v>#VALUE!</v>
      </c>
      <c r="I66" t="e" cm="1" vm="1">
        <f t="array" aca="1" ref="I66" ca="1">[1]!IGTI11.Var12M</f>
        <v>#VALUE!</v>
      </c>
      <c r="J66" cm="1">
        <f t="array" ref="J66">[1]!IGTI11.Vol</f>
        <v>33364322</v>
      </c>
      <c r="K66" cm="1">
        <f t="array" ref="K66">[1]!IGTI11.QtdNeg</f>
        <v>11983</v>
      </c>
      <c r="L66" t="e" cm="1" vm="1">
        <f t="array" aca="1" ref="L66" ca="1">[1]!IGTI11.Fech</f>
        <v>#VALUE!</v>
      </c>
      <c r="M66" t="e" cm="1" vm="1">
        <f t="array" aca="1" ref="M66" ca="1">[1]!IGTI11.IbovParticip</f>
        <v>#VALUE!</v>
      </c>
      <c r="N66" t="str" cm="1">
        <f t="array" ref="N66">[1]!IGTI11.Desc</f>
        <v>IGUATEMI S.AUNT N1</v>
      </c>
      <c r="O66" t="e" cm="1" vm="1">
        <f t="array" aca="1" ref="O66" ca="1">[1]!IGTI11.VarAnual</f>
        <v>#VALUE!</v>
      </c>
      <c r="P66" cm="1">
        <f t="array" ref="P66">[1]!IGTI11.Exerc</f>
        <v>0</v>
      </c>
      <c r="Q66" cm="1">
        <f t="array" ref="Q66">[1]!IGTI11.Expir</f>
        <v>0</v>
      </c>
    </row>
    <row r="67" spans="1:17" x14ac:dyDescent="0.25">
      <c r="A67" t="str" cm="1">
        <f t="array" ref="A67">[1]!IGTI11T.Estado</f>
        <v>Normal</v>
      </c>
      <c r="B67" cm="1">
        <f t="array" ref="B67">[1]!IGTI11T.PreTeo</f>
        <v>0</v>
      </c>
      <c r="C67" t="s">
        <v>128</v>
      </c>
      <c r="D67" t="e" cm="1" vm="1">
        <f t="array" aca="1" ref="D67" ca="1">[1]!IGTI11T.Ult</f>
        <v>#VALUE!</v>
      </c>
      <c r="E67" cm="1">
        <f t="array" ref="E67">[1]!IGTI11T.VarPer</f>
        <v>0</v>
      </c>
      <c r="F67" cm="1">
        <f t="array" ref="F67">[1]!IGTI11T.Hora</f>
        <v>0</v>
      </c>
      <c r="G67" t="e" cm="1" vm="1">
        <f t="array" aca="1" ref="G67" ca="1">[1]!IGTI11T.VarSem</f>
        <v>#VALUE!</v>
      </c>
      <c r="H67" t="e" cm="1" vm="1">
        <f t="array" aca="1" ref="H67" ca="1">[1]!IGTI11T.VarMes</f>
        <v>#VALUE!</v>
      </c>
      <c r="I67" t="e" cm="1" vm="1">
        <f t="array" aca="1" ref="I67" ca="1">[1]!IGTI11T.Var12M</f>
        <v>#VALUE!</v>
      </c>
      <c r="J67" cm="1">
        <f t="array" ref="J67">[1]!IGTI11T.Vol</f>
        <v>0</v>
      </c>
      <c r="K67" cm="1">
        <f t="array" ref="K67">[1]!IGTI11T.QtdNeg</f>
        <v>0</v>
      </c>
      <c r="L67" t="e" cm="1" vm="1">
        <f t="array" aca="1" ref="L67" ca="1">[1]!IGTI11T.Fech</f>
        <v>#VALUE!</v>
      </c>
      <c r="M67" cm="1">
        <f t="array" ref="M67">[1]!IGTI11T.IbovParticip</f>
        <v>0</v>
      </c>
      <c r="N67" t="str" cm="1">
        <f t="array" ref="N67">[1]!IGTI11T.Desc</f>
        <v>IGUATEMI S.AUNT N1</v>
      </c>
      <c r="O67" t="e" cm="1" vm="1">
        <f t="array" aca="1" ref="O67" ca="1">[1]!IGTI11T.VarAnual</f>
        <v>#VALUE!</v>
      </c>
      <c r="P67" cm="1">
        <f t="array" ref="P67">[1]!IGTI11T.Exerc</f>
        <v>0</v>
      </c>
      <c r="Q67" cm="1">
        <f t="array" ref="Q67">[1]!IGTI11T.Expir</f>
        <v>0</v>
      </c>
    </row>
    <row r="68" spans="1:17" x14ac:dyDescent="0.25">
      <c r="A68" t="str" cm="1">
        <f t="array" ref="A68">[1]!IRBR3.Estado</f>
        <v>Normal</v>
      </c>
      <c r="B68" cm="1">
        <f t="array" ref="B68">[1]!IRBR3.PreTeo</f>
        <v>0</v>
      </c>
      <c r="C68" t="s">
        <v>9</v>
      </c>
      <c r="D68" t="e" cm="1" vm="1">
        <f t="array" aca="1" ref="D68" ca="1">[1]!IRBR3.Ult</f>
        <v>#VALUE!</v>
      </c>
      <c r="E68" t="e" cm="1" vm="1">
        <f t="array" aca="1" ref="E68" ca="1">[1]!IRBR3.VarPer</f>
        <v>#VALUE!</v>
      </c>
      <c r="F68" cm="1">
        <f t="array" ref="F68">[1]!IRBR3.Hora</f>
        <v>0.74983796296296301</v>
      </c>
      <c r="G68" t="e" cm="1" vm="1">
        <f t="array" aca="1" ref="G68" ca="1">[1]!IRBR3.VarSem</f>
        <v>#VALUE!</v>
      </c>
      <c r="H68" t="e" cm="1" vm="1">
        <f t="array" aca="1" ref="H68" ca="1">[1]!IRBR3.VarMes</f>
        <v>#VALUE!</v>
      </c>
      <c r="I68" t="e" cm="1" vm="1">
        <f t="array" aca="1" ref="I68" ca="1">[1]!IRBR3.Var12M</f>
        <v>#VALUE!</v>
      </c>
      <c r="J68" cm="1">
        <f t="array" ref="J68">[1]!IRBR3.Vol</f>
        <v>52878345</v>
      </c>
      <c r="K68" cm="1">
        <f t="array" ref="K68">[1]!IRBR3.QtdNeg</f>
        <v>12790</v>
      </c>
      <c r="L68" t="e" cm="1" vm="1">
        <f t="array" aca="1" ref="L68" ca="1">[1]!IRBR3.Fech</f>
        <v>#VALUE!</v>
      </c>
      <c r="M68" t="e" cm="1" vm="1">
        <f t="array" aca="1" ref="M68" ca="1">[1]!IRBR3.IbovParticip</f>
        <v>#VALUE!</v>
      </c>
      <c r="N68" t="str" cm="1">
        <f t="array" ref="N68">[1]!IRBR3.Desc</f>
        <v>IRBBRASIL REON NM</v>
      </c>
      <c r="O68" t="e" cm="1" vm="1">
        <f t="array" aca="1" ref="O68" ca="1">[1]!IRBR3.VarAnual</f>
        <v>#VALUE!</v>
      </c>
      <c r="P68" cm="1">
        <f t="array" ref="P68">[1]!IRBR3.Exerc</f>
        <v>0</v>
      </c>
      <c r="Q68" cm="1">
        <f t="array" ref="Q68">[1]!IRBR3.Expir</f>
        <v>0</v>
      </c>
    </row>
    <row r="69" spans="1:17" x14ac:dyDescent="0.25">
      <c r="A69" t="str" cm="1">
        <f t="array" ref="A69">[1]!ITSA4.Estado</f>
        <v>Normal</v>
      </c>
      <c r="B69" cm="1">
        <f t="array" ref="B69">[1]!ITSA4.PreTeo</f>
        <v>0</v>
      </c>
      <c r="C69" t="s">
        <v>129</v>
      </c>
      <c r="D69" t="e" cm="1" vm="1">
        <f t="array" aca="1" ref="D69" ca="1">[1]!ITSA4.Ult</f>
        <v>#VALUE!</v>
      </c>
      <c r="E69" t="e" cm="1" vm="1">
        <f t="array" aca="1" ref="E69" ca="1">[1]!ITSA4.VarPer</f>
        <v>#VALUE!</v>
      </c>
      <c r="F69" cm="1">
        <f t="array" ref="F69">[1]!ITSA4.Hora</f>
        <v>0.74998842592592585</v>
      </c>
      <c r="G69" t="e" cm="1" vm="1">
        <f t="array" aca="1" ref="G69" ca="1">[1]!ITSA4.VarSem</f>
        <v>#VALUE!</v>
      </c>
      <c r="H69" t="e" cm="1" vm="1">
        <f t="array" aca="1" ref="H69" ca="1">[1]!ITSA4.VarMes</f>
        <v>#VALUE!</v>
      </c>
      <c r="I69" t="e" cm="1" vm="1">
        <f t="array" aca="1" ref="I69" ca="1">[1]!ITSA4.Var12M</f>
        <v>#VALUE!</v>
      </c>
      <c r="J69" cm="1">
        <f t="array" ref="J69">[1]!ITSA4.Vol</f>
        <v>267528670</v>
      </c>
      <c r="K69" cm="1">
        <f t="array" ref="K69">[1]!ITSA4.QtdNeg</f>
        <v>26830</v>
      </c>
      <c r="L69" t="e" cm="1" vm="1">
        <f t="array" aca="1" ref="L69" ca="1">[1]!ITSA4.Fech</f>
        <v>#VALUE!</v>
      </c>
      <c r="M69" t="e" cm="1" vm="1">
        <f t="array" aca="1" ref="M69" ca="1">[1]!ITSA4.IbovParticip</f>
        <v>#VALUE!</v>
      </c>
      <c r="N69" t="str" cm="1">
        <f t="array" ref="N69">[1]!ITSA4.Desc</f>
        <v>ITAUSA PN EJ N1</v>
      </c>
      <c r="O69" t="e" cm="1" vm="1">
        <f t="array" aca="1" ref="O69" ca="1">[1]!ITSA4.VarAnual</f>
        <v>#VALUE!</v>
      </c>
      <c r="P69" cm="1">
        <f t="array" ref="P69">[1]!ITSA4.Exerc</f>
        <v>0</v>
      </c>
      <c r="Q69" cm="1">
        <f t="array" ref="Q69">[1]!ITSA4.Expir</f>
        <v>0</v>
      </c>
    </row>
    <row r="70" spans="1:17" x14ac:dyDescent="0.25">
      <c r="A70" t="str" cm="1">
        <f t="array" ref="A70">[1]!ITUB4.Estado</f>
        <v>Normal</v>
      </c>
      <c r="B70" cm="1">
        <f t="array" ref="B70">[1]!ITUB4.PreTeo</f>
        <v>0</v>
      </c>
      <c r="C70" t="s">
        <v>130</v>
      </c>
      <c r="D70" t="e" cm="1" vm="1">
        <f t="array" aca="1" ref="D70" ca="1">[1]!ITUB4.Ult</f>
        <v>#VALUE!</v>
      </c>
      <c r="E70" t="e" cm="1" vm="1">
        <f t="array" aca="1" ref="E70" ca="1">[1]!ITUB4.VarPer</f>
        <v>#VALUE!</v>
      </c>
      <c r="F70" cm="1">
        <f t="array" ref="F70">[1]!ITUB4.Hora</f>
        <v>0.74895833333333339</v>
      </c>
      <c r="G70" t="e" cm="1" vm="1">
        <f t="array" aca="1" ref="G70" ca="1">[1]!ITUB4.VarSem</f>
        <v>#VALUE!</v>
      </c>
      <c r="H70" t="e" cm="1" vm="1">
        <f t="array" aca="1" ref="H70" ca="1">[1]!ITUB4.VarMes</f>
        <v>#VALUE!</v>
      </c>
      <c r="I70" t="e" cm="1" vm="1">
        <f t="array" aca="1" ref="I70" ca="1">[1]!ITUB4.Var12M</f>
        <v>#VALUE!</v>
      </c>
      <c r="J70" cm="1">
        <f t="array" ref="J70">[1]!ITUB4.Vol</f>
        <v>579135609</v>
      </c>
      <c r="K70" cm="1">
        <f t="array" ref="K70">[1]!ITUB4.QtdNeg</f>
        <v>33538</v>
      </c>
      <c r="L70" t="e" cm="1" vm="1">
        <f t="array" aca="1" ref="L70" ca="1">[1]!ITUB4.Fech</f>
        <v>#VALUE!</v>
      </c>
      <c r="M70" t="e" cm="1" vm="1">
        <f t="array" aca="1" ref="M70" ca="1">[1]!ITUB4.IbovParticip</f>
        <v>#VALUE!</v>
      </c>
      <c r="N70" t="str" cm="1">
        <f t="array" ref="N70">[1]!ITUB4.Desc</f>
        <v>ITAUUNIBANCOPN EJ N1</v>
      </c>
      <c r="O70" t="e" cm="1" vm="1">
        <f t="array" aca="1" ref="O70" ca="1">[1]!ITUB4.VarAnual</f>
        <v>#VALUE!</v>
      </c>
      <c r="P70" cm="1">
        <f t="array" ref="P70">[1]!ITUB4.Exerc</f>
        <v>0</v>
      </c>
      <c r="Q70" cm="1">
        <f t="array" ref="Q70">[1]!ITUB4.Expir</f>
        <v>0</v>
      </c>
    </row>
    <row r="71" spans="1:17" x14ac:dyDescent="0.25">
      <c r="A71" t="str" cm="1">
        <f t="array" ref="A71">[1]!JBSS3.Estado</f>
        <v>Normal</v>
      </c>
      <c r="B71" cm="1">
        <f t="array" ref="B71">[1]!JBSS3.PreTeo</f>
        <v>0</v>
      </c>
      <c r="C71" t="s">
        <v>131</v>
      </c>
      <c r="D71" t="e" cm="1" vm="1">
        <f t="array" aca="1" ref="D71" ca="1">[1]!JBSS3.Ult</f>
        <v>#VALUE!</v>
      </c>
      <c r="E71" t="e" cm="1" vm="1">
        <f t="array" aca="1" ref="E71" ca="1">[1]!JBSS3.VarPer</f>
        <v>#VALUE!</v>
      </c>
      <c r="F71" cm="1">
        <f t="array" ref="F71">[1]!JBSS3.Hora</f>
        <v>0.74980324074074067</v>
      </c>
      <c r="G71" t="e" cm="1" vm="1">
        <f t="array" aca="1" ref="G71" ca="1">[1]!JBSS3.VarSem</f>
        <v>#VALUE!</v>
      </c>
      <c r="H71" t="e" cm="1" vm="1">
        <f t="array" aca="1" ref="H71" ca="1">[1]!JBSS3.VarMes</f>
        <v>#VALUE!</v>
      </c>
      <c r="I71" t="e" cm="1" vm="1">
        <f t="array" aca="1" ref="I71" ca="1">[1]!JBSS3.Var12M</f>
        <v>#VALUE!</v>
      </c>
      <c r="J71" cm="1">
        <f t="array" ref="J71">[1]!JBSS3.Vol</f>
        <v>150402094</v>
      </c>
      <c r="K71" cm="1">
        <f t="array" ref="K71">[1]!JBSS3.QtdNeg</f>
        <v>18652</v>
      </c>
      <c r="L71" t="e" cm="1" vm="1">
        <f t="array" aca="1" ref="L71" ca="1">[1]!JBSS3.Fech</f>
        <v>#VALUE!</v>
      </c>
      <c r="M71" t="e" cm="1" vm="1">
        <f t="array" aca="1" ref="M71" ca="1">[1]!JBSS3.IbovParticip</f>
        <v>#VALUE!</v>
      </c>
      <c r="N71" t="str" cm="1">
        <f t="array" ref="N71">[1]!JBSS3.Desc</f>
        <v>JBS ON NM</v>
      </c>
      <c r="O71" t="e" cm="1" vm="1">
        <f t="array" aca="1" ref="O71" ca="1">[1]!JBSS3.VarAnual</f>
        <v>#VALUE!</v>
      </c>
      <c r="P71" cm="1">
        <f t="array" ref="P71">[1]!JBSS3.Exerc</f>
        <v>0</v>
      </c>
      <c r="Q71" cm="1">
        <f t="array" ref="Q71">[1]!JBSS3.Expir</f>
        <v>0</v>
      </c>
    </row>
    <row r="72" spans="1:17" x14ac:dyDescent="0.25">
      <c r="A72" t="str" cm="1">
        <f t="array" ref="A72">[1]!KLBN11.Estado</f>
        <v>Normal</v>
      </c>
      <c r="B72" cm="1">
        <f t="array" ref="B72">[1]!KLBN11.PreTeo</f>
        <v>0</v>
      </c>
      <c r="C72" t="s">
        <v>132</v>
      </c>
      <c r="D72" t="e" cm="1" vm="1">
        <f t="array" aca="1" ref="D72" ca="1">[1]!KLBN11.Ult</f>
        <v>#VALUE!</v>
      </c>
      <c r="E72" t="e" cm="1" vm="1">
        <f t="array" aca="1" ref="E72" ca="1">[1]!KLBN11.VarPer</f>
        <v>#VALUE!</v>
      </c>
      <c r="F72" cm="1">
        <f t="array" ref="F72">[1]!KLBN11.Hora</f>
        <v>0.74987268518518524</v>
      </c>
      <c r="G72" t="e" cm="1" vm="1">
        <f t="array" aca="1" ref="G72" ca="1">[1]!KLBN11.VarSem</f>
        <v>#VALUE!</v>
      </c>
      <c r="H72" t="e" cm="1" vm="1">
        <f t="array" aca="1" ref="H72" ca="1">[1]!KLBN11.VarMes</f>
        <v>#VALUE!</v>
      </c>
      <c r="I72" t="e" cm="1" vm="1">
        <f t="array" aca="1" ref="I72" ca="1">[1]!KLBN11.Var12M</f>
        <v>#VALUE!</v>
      </c>
      <c r="J72" cm="1">
        <f t="array" ref="J72">[1]!KLBN11.Vol</f>
        <v>122349608</v>
      </c>
      <c r="K72" cm="1">
        <f t="array" ref="K72">[1]!KLBN11.QtdNeg</f>
        <v>21266</v>
      </c>
      <c r="L72" t="e" cm="1" vm="1">
        <f t="array" aca="1" ref="L72" ca="1">[1]!KLBN11.Fech</f>
        <v>#VALUE!</v>
      </c>
      <c r="M72" t="e" cm="1" vm="1">
        <f t="array" aca="1" ref="M72" ca="1">[1]!KLBN11.IbovParticip</f>
        <v>#VALUE!</v>
      </c>
      <c r="N72" t="str" cm="1">
        <f t="array" ref="N72">[1]!KLBN11.Desc</f>
        <v>KLABIN S/A UNT N2</v>
      </c>
      <c r="O72" t="e" cm="1" vm="1">
        <f t="array" aca="1" ref="O72" ca="1">[1]!KLBN11.VarAnual</f>
        <v>#VALUE!</v>
      </c>
      <c r="P72" cm="1">
        <f t="array" ref="P72">[1]!KLBN11.Exerc</f>
        <v>0</v>
      </c>
      <c r="Q72" cm="1">
        <f t="array" ref="Q72">[1]!KLBN11.Expir</f>
        <v>0</v>
      </c>
    </row>
    <row r="73" spans="1:17" x14ac:dyDescent="0.25">
      <c r="A73" t="str" cm="1">
        <f t="array" ref="A73">[1]!LAVV3.Estado</f>
        <v>Normal</v>
      </c>
      <c r="B73" cm="1">
        <f t="array" ref="B73">[1]!LAVV3.PreTeo</f>
        <v>0</v>
      </c>
      <c r="C73" t="s">
        <v>133</v>
      </c>
      <c r="D73" t="e" cm="1" vm="1">
        <f t="array" aca="1" ref="D73" ca="1">[1]!LAVV3.Ult</f>
        <v>#VALUE!</v>
      </c>
      <c r="E73" t="e" cm="1" vm="1">
        <f t="array" aca="1" ref="E73" ca="1">[1]!LAVV3.VarPer</f>
        <v>#VALUE!</v>
      </c>
      <c r="F73" cm="1">
        <f t="array" ref="F73">[1]!LAVV3.Hora</f>
        <v>0.72917824074074078</v>
      </c>
      <c r="G73" t="e" cm="1" vm="1">
        <f t="array" aca="1" ref="G73" ca="1">[1]!LAVV3.VarSem</f>
        <v>#VALUE!</v>
      </c>
      <c r="H73" t="e" cm="1" vm="1">
        <f t="array" aca="1" ref="H73" ca="1">[1]!LAVV3.VarMes</f>
        <v>#VALUE!</v>
      </c>
      <c r="I73" t="e" cm="1" vm="1">
        <f t="array" aca="1" ref="I73" ca="1">[1]!LAVV3.Var12M</f>
        <v>#VALUE!</v>
      </c>
      <c r="J73" cm="1">
        <f t="array" ref="J73">[1]!LAVV3.Vol</f>
        <v>3063285</v>
      </c>
      <c r="K73" cm="1">
        <f t="array" ref="K73">[1]!LAVV3.QtdNeg</f>
        <v>1788</v>
      </c>
      <c r="L73" t="e" cm="1" vm="1">
        <f t="array" aca="1" ref="L73" ca="1">[1]!LAVV3.Fech</f>
        <v>#VALUE!</v>
      </c>
      <c r="M73" cm="1">
        <f t="array" ref="M73">[1]!LAVV3.IbovParticip</f>
        <v>0</v>
      </c>
      <c r="N73" t="str" cm="1">
        <f t="array" ref="N73">[1]!LAVV3.Desc</f>
        <v>LAVVI ON NM</v>
      </c>
      <c r="O73" t="e" cm="1" vm="1">
        <f t="array" aca="1" ref="O73" ca="1">[1]!LAVV3.VarAnual</f>
        <v>#VALUE!</v>
      </c>
      <c r="P73" cm="1">
        <f t="array" ref="P73">[1]!LAVV3.Exerc</f>
        <v>0</v>
      </c>
      <c r="Q73" cm="1">
        <f t="array" ref="Q73">[1]!LAVV3.Expir</f>
        <v>0</v>
      </c>
    </row>
    <row r="74" spans="1:17" x14ac:dyDescent="0.25">
      <c r="A74" t="str" cm="1">
        <f t="array" ref="A74">[1]!LIGT3.Estado</f>
        <v>Normal</v>
      </c>
      <c r="B74" cm="1">
        <f t="array" ref="B74">[1]!LIGT3.PreTeo</f>
        <v>0</v>
      </c>
      <c r="C74" t="s">
        <v>134</v>
      </c>
      <c r="D74" t="e" cm="1" vm="1">
        <f t="array" aca="1" ref="D74" ca="1">[1]!LIGT3.Ult</f>
        <v>#VALUE!</v>
      </c>
      <c r="E74" t="e" cm="1" vm="1">
        <f t="array" aca="1" ref="E74" ca="1">[1]!LIGT3.VarPer</f>
        <v>#VALUE!</v>
      </c>
      <c r="F74" cm="1">
        <f t="array" ref="F74">[1]!LIGT3.Hora</f>
        <v>0.74710648148148151</v>
      </c>
      <c r="G74" t="e" cm="1" vm="1">
        <f t="array" aca="1" ref="G74" ca="1">[1]!LIGT3.VarSem</f>
        <v>#VALUE!</v>
      </c>
      <c r="H74" t="e" cm="1" vm="1">
        <f t="array" aca="1" ref="H74" ca="1">[1]!LIGT3.VarMes</f>
        <v>#VALUE!</v>
      </c>
      <c r="I74" t="e" cm="1" vm="1">
        <f t="array" aca="1" ref="I74" ca="1">[1]!LIGT3.Var12M</f>
        <v>#VALUE!</v>
      </c>
      <c r="J74" cm="1">
        <f t="array" ref="J74">[1]!LIGT3.Vol</f>
        <v>16338255</v>
      </c>
      <c r="K74" cm="1">
        <f t="array" ref="K74">[1]!LIGT3.QtdNeg</f>
        <v>6595</v>
      </c>
      <c r="L74" t="e" cm="1" vm="1">
        <f t="array" aca="1" ref="L74" ca="1">[1]!LIGT3.Fech</f>
        <v>#VALUE!</v>
      </c>
      <c r="M74" cm="1">
        <f t="array" ref="M74">[1]!LIGT3.IbovParticip</f>
        <v>0</v>
      </c>
      <c r="N74" t="str" cm="1">
        <f t="array" ref="N74">[1]!LIGT3.Desc</f>
        <v>LIGHT S/A ON NM</v>
      </c>
      <c r="O74" t="e" cm="1" vm="1">
        <f t="array" aca="1" ref="O74" ca="1">[1]!LIGT3.VarAnual</f>
        <v>#VALUE!</v>
      </c>
      <c r="P74" cm="1">
        <f t="array" ref="P74">[1]!LIGT3.Exerc</f>
        <v>0</v>
      </c>
      <c r="Q74" cm="1">
        <f t="array" ref="Q74">[1]!LIGT3.Expir</f>
        <v>0</v>
      </c>
    </row>
    <row r="75" spans="1:17" x14ac:dyDescent="0.25">
      <c r="A75" t="str" cm="1">
        <f t="array" ref="A75">[1]!LREN3.Estado</f>
        <v>Normal</v>
      </c>
      <c r="B75" cm="1">
        <f t="array" ref="B75">[1]!LREN3.PreTeo</f>
        <v>0</v>
      </c>
      <c r="C75" t="s">
        <v>135</v>
      </c>
      <c r="D75" t="e" cm="1" vm="1">
        <f t="array" aca="1" ref="D75" ca="1">[1]!LREN3.Ult</f>
        <v>#VALUE!</v>
      </c>
      <c r="E75" t="e" cm="1" vm="1">
        <f t="array" aca="1" ref="E75" ca="1">[1]!LREN3.VarPer</f>
        <v>#VALUE!</v>
      </c>
      <c r="F75" cm="1">
        <f t="array" ref="F75">[1]!LREN3.Hora</f>
        <v>0.74798611111111113</v>
      </c>
      <c r="G75" t="e" cm="1" vm="1">
        <f t="array" aca="1" ref="G75" ca="1">[1]!LREN3.VarSem</f>
        <v>#VALUE!</v>
      </c>
      <c r="H75" t="e" cm="1" vm="1">
        <f t="array" aca="1" ref="H75" ca="1">[1]!LREN3.VarMes</f>
        <v>#VALUE!</v>
      </c>
      <c r="I75" t="e" cm="1" vm="1">
        <f t="array" aca="1" ref="I75" ca="1">[1]!LREN3.Var12M</f>
        <v>#VALUE!</v>
      </c>
      <c r="J75" cm="1">
        <f t="array" ref="J75">[1]!LREN3.Vol</f>
        <v>359744511</v>
      </c>
      <c r="K75" cm="1">
        <f t="array" ref="K75">[1]!LREN3.QtdNeg</f>
        <v>26469</v>
      </c>
      <c r="L75" t="e" cm="1" vm="1">
        <f t="array" aca="1" ref="L75" ca="1">[1]!LREN3.Fech</f>
        <v>#VALUE!</v>
      </c>
      <c r="M75" t="e" cm="1" vm="1">
        <f t="array" aca="1" ref="M75" ca="1">[1]!LREN3.IbovParticip</f>
        <v>#VALUE!</v>
      </c>
      <c r="N75" t="str" cm="1">
        <f t="array" ref="N75">[1]!LREN3.Desc</f>
        <v>LOJAS RENNERON NM</v>
      </c>
      <c r="O75" t="e" cm="1" vm="1">
        <f t="array" aca="1" ref="O75" ca="1">[1]!LREN3.VarAnual</f>
        <v>#VALUE!</v>
      </c>
      <c r="P75" cm="1">
        <f t="array" ref="P75">[1]!LREN3.Exerc</f>
        <v>0</v>
      </c>
      <c r="Q75" cm="1">
        <f t="array" ref="Q75">[1]!LREN3.Expir</f>
        <v>0</v>
      </c>
    </row>
    <row r="76" spans="1:17" x14ac:dyDescent="0.25">
      <c r="A76" t="str" cm="1">
        <f t="array" ref="A76">[1]!LWSA3.Estado</f>
        <v>Normal</v>
      </c>
      <c r="B76" cm="1">
        <f t="array" ref="B76">[1]!LWSA3.PreTeo</f>
        <v>0</v>
      </c>
      <c r="C76" t="s">
        <v>11</v>
      </c>
      <c r="D76" t="e" cm="1" vm="1">
        <f t="array" aca="1" ref="D76" ca="1">[1]!LWSA3.Ult</f>
        <v>#VALUE!</v>
      </c>
      <c r="E76" t="e" cm="1" vm="1">
        <f t="array" aca="1" ref="E76" ca="1">[1]!LWSA3.VarPer</f>
        <v>#VALUE!</v>
      </c>
      <c r="F76" cm="1">
        <f t="array" ref="F76">[1]!LWSA3.Hora</f>
        <v>0.74972222222222218</v>
      </c>
      <c r="G76" t="e" cm="1" vm="1">
        <f t="array" aca="1" ref="G76" ca="1">[1]!LWSA3.VarSem</f>
        <v>#VALUE!</v>
      </c>
      <c r="H76" t="e" cm="1" vm="1">
        <f t="array" aca="1" ref="H76" ca="1">[1]!LWSA3.VarMes</f>
        <v>#VALUE!</v>
      </c>
      <c r="I76" t="e" cm="1" vm="1">
        <f t="array" aca="1" ref="I76" ca="1">[1]!LWSA3.Var12M</f>
        <v>#VALUE!</v>
      </c>
      <c r="J76" cm="1">
        <f t="array" ref="J76">[1]!LWSA3.Vol</f>
        <v>195107813</v>
      </c>
      <c r="K76" cm="1">
        <f t="array" ref="K76">[1]!LWSA3.QtdNeg</f>
        <v>21525</v>
      </c>
      <c r="L76" t="e" cm="1" vm="1">
        <f t="array" aca="1" ref="L76" ca="1">[1]!LWSA3.Fech</f>
        <v>#VALUE!</v>
      </c>
      <c r="M76" t="e" cm="1" vm="1">
        <f t="array" aca="1" ref="M76" ca="1">[1]!LWSA3.IbovParticip</f>
        <v>#VALUE!</v>
      </c>
      <c r="N76" t="str" cm="1">
        <f t="array" ref="N76">[1]!LWSA3.Desc</f>
        <v>LOCAWEB ON NM</v>
      </c>
      <c r="O76" t="e" cm="1" vm="1">
        <f t="array" aca="1" ref="O76" ca="1">[1]!LWSA3.VarAnual</f>
        <v>#VALUE!</v>
      </c>
      <c r="P76" cm="1">
        <f t="array" ref="P76">[1]!LWSA3.Exerc</f>
        <v>0</v>
      </c>
      <c r="Q76" cm="1">
        <f t="array" ref="Q76">[1]!LWSA3.Expir</f>
        <v>0</v>
      </c>
    </row>
    <row r="77" spans="1:17" x14ac:dyDescent="0.25">
      <c r="A77" t="str" cm="1">
        <f t="array" ref="A77">[1]!MDIA3.Estado</f>
        <v>Normal</v>
      </c>
      <c r="B77" cm="1">
        <f t="array" ref="B77">[1]!MDIA3.PreTeo</f>
        <v>0</v>
      </c>
      <c r="C77" t="s">
        <v>136</v>
      </c>
      <c r="D77" t="e" cm="1" vm="1">
        <f t="array" aca="1" ref="D77" ca="1">[1]!MDIA3.Ult</f>
        <v>#VALUE!</v>
      </c>
      <c r="E77" t="e" cm="1" vm="1">
        <f t="array" aca="1" ref="E77" ca="1">[1]!MDIA3.VarPer</f>
        <v>#VALUE!</v>
      </c>
      <c r="F77" cm="1">
        <f t="array" ref="F77">[1]!MDIA3.Hora</f>
        <v>0.74149305555555556</v>
      </c>
      <c r="G77" t="e" cm="1" vm="1">
        <f t="array" aca="1" ref="G77" ca="1">[1]!MDIA3.VarSem</f>
        <v>#VALUE!</v>
      </c>
      <c r="H77" t="e" cm="1" vm="1">
        <f t="array" aca="1" ref="H77" ca="1">[1]!MDIA3.VarMes</f>
        <v>#VALUE!</v>
      </c>
      <c r="I77" t="e" cm="1" vm="1">
        <f t="array" aca="1" ref="I77" ca="1">[1]!MDIA3.Var12M</f>
        <v>#VALUE!</v>
      </c>
      <c r="J77" cm="1">
        <f t="array" ref="J77">[1]!MDIA3.Vol</f>
        <v>50208314</v>
      </c>
      <c r="K77" cm="1">
        <f t="array" ref="K77">[1]!MDIA3.QtdNeg</f>
        <v>6417</v>
      </c>
      <c r="L77" t="e" cm="1" vm="1">
        <f t="array" aca="1" ref="L77" ca="1">[1]!MDIA3.Fech</f>
        <v>#VALUE!</v>
      </c>
      <c r="M77" cm="1">
        <f t="array" ref="M77">[1]!MDIA3.IbovParticip</f>
        <v>0</v>
      </c>
      <c r="N77" t="str" cm="1">
        <f t="array" ref="N77">[1]!MDIA3.Desc</f>
        <v>M.DIASBRANCOON NM</v>
      </c>
      <c r="O77" t="e" cm="1" vm="1">
        <f t="array" aca="1" ref="O77" ca="1">[1]!MDIA3.VarAnual</f>
        <v>#VALUE!</v>
      </c>
      <c r="P77" cm="1">
        <f t="array" ref="P77">[1]!MDIA3.Exerc</f>
        <v>0</v>
      </c>
      <c r="Q77" cm="1">
        <f t="array" ref="Q77">[1]!MDIA3.Expir</f>
        <v>0</v>
      </c>
    </row>
    <row r="78" spans="1:17" x14ac:dyDescent="0.25">
      <c r="A78" t="str" cm="1">
        <f t="array" ref="A78">[1]!MGLU3.Estado</f>
        <v>Normal</v>
      </c>
      <c r="B78" cm="1">
        <f t="array" ref="B78">[1]!MGLU3.PreTeo</f>
        <v>0</v>
      </c>
      <c r="C78" t="s">
        <v>137</v>
      </c>
      <c r="D78" t="e" cm="1" vm="1">
        <f t="array" aca="1" ref="D78" ca="1">[1]!MGLU3.Ult</f>
        <v>#VALUE!</v>
      </c>
      <c r="E78" t="e" cm="1" vm="1">
        <f t="array" aca="1" ref="E78" ca="1">[1]!MGLU3.VarPer</f>
        <v>#VALUE!</v>
      </c>
      <c r="F78" cm="1">
        <f t="array" ref="F78">[1]!MGLU3.Hora</f>
        <v>0.74991898148148151</v>
      </c>
      <c r="G78" t="e" cm="1" vm="1">
        <f t="array" aca="1" ref="G78" ca="1">[1]!MGLU3.VarSem</f>
        <v>#VALUE!</v>
      </c>
      <c r="H78" t="e" cm="1" vm="1">
        <f t="array" aca="1" ref="H78" ca="1">[1]!MGLU3.VarMes</f>
        <v>#VALUE!</v>
      </c>
      <c r="I78" t="e" cm="1" vm="1">
        <f t="array" aca="1" ref="I78" ca="1">[1]!MGLU3.Var12M</f>
        <v>#VALUE!</v>
      </c>
      <c r="J78" cm="1">
        <f t="array" ref="J78">[1]!MGLU3.Vol</f>
        <v>611597360</v>
      </c>
      <c r="K78" cm="1">
        <f t="array" ref="K78">[1]!MGLU3.QtdNeg</f>
        <v>48477</v>
      </c>
      <c r="L78" t="e" cm="1" vm="1">
        <f t="array" aca="1" ref="L78" ca="1">[1]!MGLU3.Fech</f>
        <v>#VALUE!</v>
      </c>
      <c r="M78" t="e" cm="1" vm="1">
        <f t="array" aca="1" ref="M78" ca="1">[1]!MGLU3.IbovParticip</f>
        <v>#VALUE!</v>
      </c>
      <c r="N78" t="str" cm="1">
        <f t="array" ref="N78">[1]!MGLU3.Desc</f>
        <v>MAGAZ LUIZA ON NM</v>
      </c>
      <c r="O78" t="e" cm="1" vm="1">
        <f t="array" aca="1" ref="O78" ca="1">[1]!MGLU3.VarAnual</f>
        <v>#VALUE!</v>
      </c>
      <c r="P78" cm="1">
        <f t="array" ref="P78">[1]!MGLU3.Exerc</f>
        <v>0</v>
      </c>
      <c r="Q78" cm="1">
        <f t="array" ref="Q78">[1]!MGLU3.Expir</f>
        <v>0</v>
      </c>
    </row>
    <row r="79" spans="1:17" x14ac:dyDescent="0.25">
      <c r="A79" t="str" cm="1">
        <f t="array" ref="A79">[1]!MOVI3.Estado</f>
        <v>Normal</v>
      </c>
      <c r="B79" cm="1">
        <f t="array" ref="B79">[1]!MOVI3.PreTeo</f>
        <v>0</v>
      </c>
      <c r="C79" t="s">
        <v>138</v>
      </c>
      <c r="D79" t="e" cm="1" vm="1">
        <f t="array" aca="1" ref="D79" ca="1">[1]!MOVI3.Ult</f>
        <v>#VALUE!</v>
      </c>
      <c r="E79" t="e" cm="1" vm="1">
        <f t="array" aca="1" ref="E79" ca="1">[1]!MOVI3.VarPer</f>
        <v>#VALUE!</v>
      </c>
      <c r="F79" cm="1">
        <f t="array" ref="F79">[1]!MOVI3.Hora</f>
        <v>0.74282407407407414</v>
      </c>
      <c r="G79" t="e" cm="1" vm="1">
        <f t="array" aca="1" ref="G79" ca="1">[1]!MOVI3.VarSem</f>
        <v>#VALUE!</v>
      </c>
      <c r="H79" t="e" cm="1" vm="1">
        <f t="array" aca="1" ref="H79" ca="1">[1]!MOVI3.VarMes</f>
        <v>#VALUE!</v>
      </c>
      <c r="I79" t="e" cm="1" vm="1">
        <f t="array" aca="1" ref="I79" ca="1">[1]!MOVI3.Var12M</f>
        <v>#VALUE!</v>
      </c>
      <c r="J79" cm="1">
        <f t="array" ref="J79">[1]!MOVI3.Vol</f>
        <v>18170779</v>
      </c>
      <c r="K79" cm="1">
        <f t="array" ref="K79">[1]!MOVI3.QtdNeg</f>
        <v>5179</v>
      </c>
      <c r="L79" t="e" cm="1" vm="1">
        <f t="array" aca="1" ref="L79" ca="1">[1]!MOVI3.Fech</f>
        <v>#VALUE!</v>
      </c>
      <c r="M79" cm="1">
        <f t="array" ref="M79">[1]!MOVI3.IbovParticip</f>
        <v>0</v>
      </c>
      <c r="N79" t="str" cm="1">
        <f t="array" ref="N79">[1]!MOVI3.Desc</f>
        <v>MOVIDA ON NM</v>
      </c>
      <c r="O79" t="e" cm="1" vm="1">
        <f t="array" aca="1" ref="O79" ca="1">[1]!MOVI3.VarAnual</f>
        <v>#VALUE!</v>
      </c>
      <c r="P79" cm="1">
        <f t="array" ref="P79">[1]!MOVI3.Exerc</f>
        <v>0</v>
      </c>
      <c r="Q79" cm="1">
        <f t="array" ref="Q79">[1]!MOVI3.Expir</f>
        <v>0</v>
      </c>
    </row>
    <row r="80" spans="1:17" x14ac:dyDescent="0.25">
      <c r="A80" t="str" cm="1">
        <f t="array" ref="A80">[1]!MRFG3.Estado</f>
        <v>Normal</v>
      </c>
      <c r="B80" cm="1">
        <f t="array" ref="B80">[1]!MRFG3.PreTeo</f>
        <v>0</v>
      </c>
      <c r="C80" t="s">
        <v>139</v>
      </c>
      <c r="D80" t="e" cm="1" vm="1">
        <f t="array" aca="1" ref="D80" ca="1">[1]!MRFG3.Ult</f>
        <v>#VALUE!</v>
      </c>
      <c r="E80" t="e" cm="1" vm="1">
        <f t="array" aca="1" ref="E80" ca="1">[1]!MRFG3.VarPer</f>
        <v>#VALUE!</v>
      </c>
      <c r="F80" cm="1">
        <f t="array" ref="F80">[1]!MRFG3.Hora</f>
        <v>0.74994212962962958</v>
      </c>
      <c r="G80" t="e" cm="1" vm="1">
        <f t="array" aca="1" ref="G80" ca="1">[1]!MRFG3.VarSem</f>
        <v>#VALUE!</v>
      </c>
      <c r="H80" t="e" cm="1" vm="1">
        <f t="array" aca="1" ref="H80" ca="1">[1]!MRFG3.VarMes</f>
        <v>#VALUE!</v>
      </c>
      <c r="I80" t="e" cm="1" vm="1">
        <f t="array" aca="1" ref="I80" ca="1">[1]!MRFG3.Var12M</f>
        <v>#VALUE!</v>
      </c>
      <c r="J80" cm="1">
        <f t="array" ref="J80">[1]!MRFG3.Vol</f>
        <v>123655174</v>
      </c>
      <c r="K80" cm="1">
        <f t="array" ref="K80">[1]!MRFG3.QtdNeg</f>
        <v>16402</v>
      </c>
      <c r="L80" t="e" cm="1" vm="1">
        <f t="array" aca="1" ref="L80" ca="1">[1]!MRFG3.Fech</f>
        <v>#VALUE!</v>
      </c>
      <c r="M80" t="e" cm="1" vm="1">
        <f t="array" aca="1" ref="M80" ca="1">[1]!MRFG3.IbovParticip</f>
        <v>#VALUE!</v>
      </c>
      <c r="N80" t="str" cm="1">
        <f t="array" ref="N80">[1]!MRFG3.Desc</f>
        <v>MARFRIG ON ED NM</v>
      </c>
      <c r="O80" t="e" cm="1" vm="1">
        <f t="array" aca="1" ref="O80" ca="1">[1]!MRFG3.VarAnual</f>
        <v>#VALUE!</v>
      </c>
      <c r="P80" cm="1">
        <f t="array" ref="P80">[1]!MRFG3.Exerc</f>
        <v>0</v>
      </c>
      <c r="Q80" cm="1">
        <f t="array" ref="Q80">[1]!MRFG3.Expir</f>
        <v>0</v>
      </c>
    </row>
    <row r="81" spans="1:17" x14ac:dyDescent="0.25">
      <c r="A81" t="str" cm="1">
        <f t="array" ref="A81">[1]!MRVE3.Estado</f>
        <v>Normal</v>
      </c>
      <c r="B81" cm="1">
        <f t="array" ref="B81">[1]!MRVE3.PreTeo</f>
        <v>0</v>
      </c>
      <c r="C81" t="s">
        <v>140</v>
      </c>
      <c r="D81" t="e" cm="1" vm="1">
        <f t="array" aca="1" ref="D81" ca="1">[1]!MRVE3.Ult</f>
        <v>#VALUE!</v>
      </c>
      <c r="E81" t="e" cm="1" vm="1">
        <f t="array" aca="1" ref="E81" ca="1">[1]!MRVE3.VarPer</f>
        <v>#VALUE!</v>
      </c>
      <c r="F81" cm="1">
        <f t="array" ref="F81">[1]!MRVE3.Hora</f>
        <v>0.74994212962962958</v>
      </c>
      <c r="G81" t="e" cm="1" vm="1">
        <f t="array" aca="1" ref="G81" ca="1">[1]!MRVE3.VarSem</f>
        <v>#VALUE!</v>
      </c>
      <c r="H81" t="e" cm="1" vm="1">
        <f t="array" aca="1" ref="H81" ca="1">[1]!MRVE3.VarMes</f>
        <v>#VALUE!</v>
      </c>
      <c r="I81" t="e" cm="1" vm="1">
        <f t="array" aca="1" ref="I81" ca="1">[1]!MRVE3.Var12M</f>
        <v>#VALUE!</v>
      </c>
      <c r="J81" cm="1">
        <f t="array" ref="J81">[1]!MRVE3.Vol</f>
        <v>43391898</v>
      </c>
      <c r="K81" cm="1">
        <f t="array" ref="K81">[1]!MRVE3.QtdNeg</f>
        <v>11018</v>
      </c>
      <c r="L81" t="e" cm="1" vm="1">
        <f t="array" aca="1" ref="L81" ca="1">[1]!MRVE3.Fech</f>
        <v>#VALUE!</v>
      </c>
      <c r="M81" t="e" cm="1" vm="1">
        <f t="array" aca="1" ref="M81" ca="1">[1]!MRVE3.IbovParticip</f>
        <v>#VALUE!</v>
      </c>
      <c r="N81" t="str" cm="1">
        <f t="array" ref="N81">[1]!MRVE3.Desc</f>
        <v>MRV ON NM</v>
      </c>
      <c r="O81" t="e" cm="1" vm="1">
        <f t="array" aca="1" ref="O81" ca="1">[1]!MRVE3.VarAnual</f>
        <v>#VALUE!</v>
      </c>
      <c r="P81" cm="1">
        <f t="array" ref="P81">[1]!MRVE3.Exerc</f>
        <v>0</v>
      </c>
      <c r="Q81" cm="1">
        <f t="array" ref="Q81">[1]!MRVE3.Expir</f>
        <v>0</v>
      </c>
    </row>
    <row r="82" spans="1:17" x14ac:dyDescent="0.25">
      <c r="A82" t="str" cm="1">
        <f t="array" ref="A82">[1]!MSFT34.Estado</f>
        <v>Normal</v>
      </c>
      <c r="B82" cm="1">
        <f t="array" ref="B82">[1]!MSFT34.PreTeo</f>
        <v>0</v>
      </c>
      <c r="C82" t="s">
        <v>141</v>
      </c>
      <c r="D82" t="e" cm="1" vm="1">
        <f t="array" aca="1" ref="D82" ca="1">[1]!MSFT34.Ult</f>
        <v>#VALUE!</v>
      </c>
      <c r="E82" t="e" cm="1" vm="1">
        <f t="array" aca="1" ref="E82" ca="1">[1]!MSFT34.VarPer</f>
        <v>#VALUE!</v>
      </c>
      <c r="F82" cm="1">
        <f t="array" ref="F82">[1]!MSFT34.Hora</f>
        <v>0.74965277777777783</v>
      </c>
      <c r="G82" t="e" cm="1" vm="1">
        <f t="array" aca="1" ref="G82" ca="1">[1]!MSFT34.VarSem</f>
        <v>#VALUE!</v>
      </c>
      <c r="H82" t="e" cm="1" vm="1">
        <f t="array" aca="1" ref="H82" ca="1">[1]!MSFT34.VarMes</f>
        <v>#VALUE!</v>
      </c>
      <c r="I82" t="e" cm="1" vm="1">
        <f t="array" aca="1" ref="I82" ca="1">[1]!MSFT34.Var12M</f>
        <v>#VALUE!</v>
      </c>
      <c r="J82" cm="1">
        <f t="array" ref="J82">[1]!MSFT34.Vol</f>
        <v>22931789</v>
      </c>
      <c r="K82" cm="1">
        <f t="array" ref="K82">[1]!MSFT34.QtdNeg</f>
        <v>740</v>
      </c>
      <c r="L82" t="e" cm="1" vm="1">
        <f t="array" aca="1" ref="L82" ca="1">[1]!MSFT34.Fech</f>
        <v>#VALUE!</v>
      </c>
      <c r="M82" cm="1">
        <f t="array" ref="M82">[1]!MSFT34.IbovParticip</f>
        <v>0</v>
      </c>
      <c r="N82" t="str" cm="1">
        <f t="array" ref="N82">[1]!MSFT34.Desc</f>
        <v>MICROSOFT DRN ED</v>
      </c>
      <c r="O82" t="e" cm="1" vm="1">
        <f t="array" aca="1" ref="O82" ca="1">[1]!MSFT34.VarAnual</f>
        <v>#VALUE!</v>
      </c>
      <c r="P82" cm="1">
        <f t="array" ref="P82">[1]!MSFT34.Exerc</f>
        <v>0</v>
      </c>
      <c r="Q82" cm="1">
        <f t="array" ref="Q82">[1]!MSFT34.Expir</f>
        <v>0</v>
      </c>
    </row>
    <row r="83" spans="1:17" x14ac:dyDescent="0.25">
      <c r="A83" t="str" cm="1">
        <f t="array" ref="A83">[1]!MULT3.Estado</f>
        <v>Normal</v>
      </c>
      <c r="B83" cm="1">
        <f t="array" ref="B83">[1]!MULT3.PreTeo</f>
        <v>0</v>
      </c>
      <c r="C83" t="s">
        <v>142</v>
      </c>
      <c r="D83" t="e" cm="1" vm="1">
        <f t="array" aca="1" ref="D83" ca="1">[1]!MULT3.Ult</f>
        <v>#VALUE!</v>
      </c>
      <c r="E83" cm="1">
        <f t="array" ref="E83">[1]!MULT3.VarPer</f>
        <v>0</v>
      </c>
      <c r="F83" cm="1">
        <f t="array" ref="F83">[1]!MULT3.Hora</f>
        <v>0.74994212962962958</v>
      </c>
      <c r="G83" cm="1">
        <f t="array" ref="G83">[1]!MULT3.VarSem</f>
        <v>0</v>
      </c>
      <c r="H83" t="e" cm="1" vm="1">
        <f t="array" aca="1" ref="H83" ca="1">[1]!MULT3.VarMes</f>
        <v>#VALUE!</v>
      </c>
      <c r="I83" t="e" cm="1" vm="1">
        <f t="array" aca="1" ref="I83" ca="1">[1]!MULT3.Var12M</f>
        <v>#VALUE!</v>
      </c>
      <c r="J83" cm="1">
        <f t="array" ref="J83">[1]!MULT3.Vol</f>
        <v>85002753</v>
      </c>
      <c r="K83" cm="1">
        <f t="array" ref="K83">[1]!MULT3.QtdNeg</f>
        <v>19585</v>
      </c>
      <c r="L83" t="e" cm="1" vm="1">
        <f t="array" aca="1" ref="L83" ca="1">[1]!MULT3.Fech</f>
        <v>#VALUE!</v>
      </c>
      <c r="M83" t="e" cm="1" vm="1">
        <f t="array" aca="1" ref="M83" ca="1">[1]!MULT3.IbovParticip</f>
        <v>#VALUE!</v>
      </c>
      <c r="N83" t="str" cm="1">
        <f t="array" ref="N83">[1]!MULT3.Desc</f>
        <v>MULTIPLAN ON N2</v>
      </c>
      <c r="O83" t="e" cm="1" vm="1">
        <f t="array" aca="1" ref="O83" ca="1">[1]!MULT3.VarAnual</f>
        <v>#VALUE!</v>
      </c>
      <c r="P83" cm="1">
        <f t="array" ref="P83">[1]!MULT3.Exerc</f>
        <v>0</v>
      </c>
      <c r="Q83" cm="1">
        <f t="array" ref="Q83">[1]!MULT3.Expir</f>
        <v>0</v>
      </c>
    </row>
    <row r="84" spans="1:17" x14ac:dyDescent="0.25">
      <c r="A84" t="str" cm="1">
        <f t="array" ref="A84">[1]!MYPK3.Estado</f>
        <v>Normal</v>
      </c>
      <c r="B84" cm="1">
        <f t="array" ref="B84">[1]!MYPK3.PreTeo</f>
        <v>0</v>
      </c>
      <c r="C84" t="s">
        <v>143</v>
      </c>
      <c r="D84" t="e" cm="1" vm="1">
        <f t="array" aca="1" ref="D84" ca="1">[1]!MYPK3.Ult</f>
        <v>#VALUE!</v>
      </c>
      <c r="E84" t="e" cm="1" vm="1">
        <f t="array" aca="1" ref="E84" ca="1">[1]!MYPK3.VarPer</f>
        <v>#VALUE!</v>
      </c>
      <c r="F84" cm="1">
        <f t="array" ref="F84">[1]!MYPK3.Hora</f>
        <v>0.7478935185185186</v>
      </c>
      <c r="G84" t="e" cm="1" vm="1">
        <f t="array" aca="1" ref="G84" ca="1">[1]!MYPK3.VarSem</f>
        <v>#VALUE!</v>
      </c>
      <c r="H84" t="e" cm="1" vm="1">
        <f t="array" aca="1" ref="H84" ca="1">[1]!MYPK3.VarMes</f>
        <v>#VALUE!</v>
      </c>
      <c r="I84" t="e" cm="1" vm="1">
        <f t="array" aca="1" ref="I84" ca="1">[1]!MYPK3.Var12M</f>
        <v>#VALUE!</v>
      </c>
      <c r="J84" cm="1">
        <f t="array" ref="J84">[1]!MYPK3.Vol</f>
        <v>25509910</v>
      </c>
      <c r="K84" cm="1">
        <f t="array" ref="K84">[1]!MYPK3.QtdNeg</f>
        <v>8735</v>
      </c>
      <c r="L84" t="e" cm="1" vm="1">
        <f t="array" aca="1" ref="L84" ca="1">[1]!MYPK3.Fech</f>
        <v>#VALUE!</v>
      </c>
      <c r="M84" cm="1">
        <f t="array" ref="M84">[1]!MYPK3.IbovParticip</f>
        <v>0</v>
      </c>
      <c r="N84" t="str" cm="1">
        <f t="array" ref="N84">[1]!MYPK3.Desc</f>
        <v>IOCHP-MAXIONON NM</v>
      </c>
      <c r="O84" t="e" cm="1" vm="1">
        <f t="array" aca="1" ref="O84" ca="1">[1]!MYPK3.VarAnual</f>
        <v>#VALUE!</v>
      </c>
      <c r="P84" cm="1">
        <f t="array" ref="P84">[1]!MYPK3.Exerc</f>
        <v>0</v>
      </c>
      <c r="Q84" cm="1">
        <f t="array" ref="Q84">[1]!MYPK3.Expir</f>
        <v>0</v>
      </c>
    </row>
    <row r="85" spans="1:17" x14ac:dyDescent="0.25">
      <c r="A85" t="str" cm="1">
        <f t="array" ref="A85">[1]!NEOE3.Estado</f>
        <v>Normal</v>
      </c>
      <c r="B85" cm="1">
        <f t="array" ref="B85">[1]!NEOE3.PreTeo</f>
        <v>0</v>
      </c>
      <c r="C85" t="s">
        <v>144</v>
      </c>
      <c r="D85" t="e" cm="1" vm="1">
        <f t="array" aca="1" ref="D85" ca="1">[1]!NEOE3.Ult</f>
        <v>#VALUE!</v>
      </c>
      <c r="E85" t="e" cm="1" vm="1">
        <f t="array" aca="1" ref="E85" ca="1">[1]!NEOE3.VarPer</f>
        <v>#VALUE!</v>
      </c>
      <c r="F85" cm="1">
        <f t="array" ref="F85">[1]!NEOE3.Hora</f>
        <v>0.74282407407407414</v>
      </c>
      <c r="G85" t="e" cm="1" vm="1">
        <f t="array" aca="1" ref="G85" ca="1">[1]!NEOE3.VarSem</f>
        <v>#VALUE!</v>
      </c>
      <c r="H85" t="e" cm="1" vm="1">
        <f t="array" aca="1" ref="H85" ca="1">[1]!NEOE3.VarMes</f>
        <v>#VALUE!</v>
      </c>
      <c r="I85" t="e" cm="1" vm="1">
        <f t="array" aca="1" ref="I85" ca="1">[1]!NEOE3.Var12M</f>
        <v>#VALUE!</v>
      </c>
      <c r="J85" cm="1">
        <f t="array" ref="J85">[1]!NEOE3.Vol</f>
        <v>18304640</v>
      </c>
      <c r="K85" cm="1">
        <f t="array" ref="K85">[1]!NEOE3.QtdNeg</f>
        <v>3842</v>
      </c>
      <c r="L85" t="e" cm="1" vm="1">
        <f t="array" aca="1" ref="L85" ca="1">[1]!NEOE3.Fech</f>
        <v>#VALUE!</v>
      </c>
      <c r="M85" cm="1">
        <f t="array" ref="M85">[1]!NEOE3.IbovParticip</f>
        <v>0</v>
      </c>
      <c r="N85" t="str" cm="1">
        <f t="array" ref="N85">[1]!NEOE3.Desc</f>
        <v>NEOENERGIA ON NM</v>
      </c>
      <c r="O85" t="e" cm="1" vm="1">
        <f t="array" aca="1" ref="O85" ca="1">[1]!NEOE3.VarAnual</f>
        <v>#VALUE!</v>
      </c>
      <c r="P85" cm="1">
        <f t="array" ref="P85">[1]!NEOE3.Exerc</f>
        <v>0</v>
      </c>
      <c r="Q85" cm="1">
        <f t="array" ref="Q85">[1]!NEOE3.Expir</f>
        <v>0</v>
      </c>
    </row>
    <row r="86" spans="1:17" x14ac:dyDescent="0.25">
      <c r="A86" t="str" cm="1">
        <f t="array" ref="A86">[1]!NGRD3.Estado</f>
        <v>Normal</v>
      </c>
      <c r="B86" cm="1">
        <f t="array" ref="B86">[1]!NGRD3.PreTeo</f>
        <v>0</v>
      </c>
      <c r="C86" t="s">
        <v>145</v>
      </c>
      <c r="D86" t="e" cm="1" vm="1">
        <f t="array" aca="1" ref="D86" ca="1">[1]!NGRD3.Ult</f>
        <v>#VALUE!</v>
      </c>
      <c r="E86" t="e" cm="1" vm="1">
        <f t="array" aca="1" ref="E86" ca="1">[1]!NGRD3.VarPer</f>
        <v>#VALUE!</v>
      </c>
      <c r="F86" cm="1">
        <f t="array" ref="F86">[1]!NGRD3.Hora</f>
        <v>0.74052083333333341</v>
      </c>
      <c r="G86" t="e" cm="1" vm="1">
        <f t="array" aca="1" ref="G86" ca="1">[1]!NGRD3.VarSem</f>
        <v>#VALUE!</v>
      </c>
      <c r="H86" t="e" cm="1" vm="1">
        <f t="array" aca="1" ref="H86" ca="1">[1]!NGRD3.VarMes</f>
        <v>#VALUE!</v>
      </c>
      <c r="I86" t="e" cm="1" vm="1">
        <f t="array" aca="1" ref="I86" ca="1">[1]!NGRD3.Var12M</f>
        <v>#VALUE!</v>
      </c>
      <c r="J86" cm="1">
        <f t="array" ref="J86">[1]!NGRD3.Vol</f>
        <v>1015413</v>
      </c>
      <c r="K86" cm="1">
        <f t="array" ref="K86">[1]!NGRD3.QtdNeg</f>
        <v>780</v>
      </c>
      <c r="L86" t="e" cm="1" vm="1">
        <f t="array" aca="1" ref="L86" ca="1">[1]!NGRD3.Fech</f>
        <v>#VALUE!</v>
      </c>
      <c r="M86" cm="1">
        <f t="array" ref="M86">[1]!NGRD3.IbovParticip</f>
        <v>0</v>
      </c>
      <c r="N86" t="str" cm="1">
        <f t="array" ref="N86">[1]!NGRD3.Desc</f>
        <v>NEOGRID ON NM</v>
      </c>
      <c r="O86" t="e" cm="1" vm="1">
        <f t="array" aca="1" ref="O86" ca="1">[1]!NGRD3.VarAnual</f>
        <v>#VALUE!</v>
      </c>
      <c r="P86" cm="1">
        <f t="array" ref="P86">[1]!NGRD3.Exerc</f>
        <v>0</v>
      </c>
      <c r="Q86" cm="1">
        <f t="array" ref="Q86">[1]!NGRD3.Expir</f>
        <v>0</v>
      </c>
    </row>
    <row r="87" spans="1:17" x14ac:dyDescent="0.25">
      <c r="A87" t="str" cm="1">
        <f t="array" ref="A87">[1]!NTCO3.Estado</f>
        <v>Normal</v>
      </c>
      <c r="B87" cm="1">
        <f t="array" ref="B87">[1]!NTCO3.PreTeo</f>
        <v>0</v>
      </c>
      <c r="C87" t="s">
        <v>146</v>
      </c>
      <c r="D87" t="e" cm="1" vm="1">
        <f t="array" aca="1" ref="D87" ca="1">[1]!NTCO3.Ult</f>
        <v>#VALUE!</v>
      </c>
      <c r="E87" t="e" cm="1" vm="1">
        <f t="array" aca="1" ref="E87" ca="1">[1]!NTCO3.VarPer</f>
        <v>#VALUE!</v>
      </c>
      <c r="F87" cm="1">
        <f t="array" ref="F87">[1]!NTCO3.Hora</f>
        <v>0.74989583333333332</v>
      </c>
      <c r="G87" t="e" cm="1" vm="1">
        <f t="array" aca="1" ref="G87" ca="1">[1]!NTCO3.VarSem</f>
        <v>#VALUE!</v>
      </c>
      <c r="H87" t="e" cm="1" vm="1">
        <f t="array" aca="1" ref="H87" ca="1">[1]!NTCO3.VarMes</f>
        <v>#VALUE!</v>
      </c>
      <c r="I87" t="e" cm="1" vm="1">
        <f t="array" aca="1" ref="I87" ca="1">[1]!NTCO3.Var12M</f>
        <v>#VALUE!</v>
      </c>
      <c r="J87" cm="1">
        <f t="array" ref="J87">[1]!NTCO3.Vol</f>
        <v>167291742</v>
      </c>
      <c r="K87" cm="1">
        <f t="array" ref="K87">[1]!NTCO3.QtdNeg</f>
        <v>26673</v>
      </c>
      <c r="L87" t="e" cm="1" vm="1">
        <f t="array" aca="1" ref="L87" ca="1">[1]!NTCO3.Fech</f>
        <v>#VALUE!</v>
      </c>
      <c r="M87" t="e" cm="1" vm="1">
        <f t="array" aca="1" ref="M87" ca="1">[1]!NTCO3.IbovParticip</f>
        <v>#VALUE!</v>
      </c>
      <c r="N87" t="str" cm="1">
        <f t="array" ref="N87">[1]!NTCO3.Desc</f>
        <v>GRUPO NATURAON NM</v>
      </c>
      <c r="O87" t="e" cm="1" vm="1">
        <f t="array" aca="1" ref="O87" ca="1">[1]!NTCO3.VarAnual</f>
        <v>#VALUE!</v>
      </c>
      <c r="P87" cm="1">
        <f t="array" ref="P87">[1]!NTCO3.Exerc</f>
        <v>0</v>
      </c>
      <c r="Q87" cm="1">
        <f t="array" ref="Q87">[1]!NTCO3.Expir</f>
        <v>0</v>
      </c>
    </row>
    <row r="88" spans="1:17" x14ac:dyDescent="0.25">
      <c r="A88" t="str" cm="1">
        <f t="array" ref="A88">[1]!OIBR3.Estado</f>
        <v>Normal</v>
      </c>
      <c r="B88" cm="1">
        <f t="array" ref="B88">[1]!OIBR3.PreTeo</f>
        <v>0</v>
      </c>
      <c r="C88" t="s">
        <v>147</v>
      </c>
      <c r="D88" t="e" cm="1" vm="1">
        <f t="array" aca="1" ref="D88" ca="1">[1]!OIBR3.Ult</f>
        <v>#VALUE!</v>
      </c>
      <c r="E88" t="e" cm="1" vm="1">
        <f t="array" aca="1" ref="E88" ca="1">[1]!OIBR3.VarPer</f>
        <v>#VALUE!</v>
      </c>
      <c r="F88" cm="1">
        <f t="array" ref="F88">[1]!OIBR3.Hora</f>
        <v>0.74993055555555566</v>
      </c>
      <c r="G88" t="e" cm="1" vm="1">
        <f t="array" aca="1" ref="G88" ca="1">[1]!OIBR3.VarSem</f>
        <v>#VALUE!</v>
      </c>
      <c r="H88" t="e" cm="1" vm="1">
        <f t="array" aca="1" ref="H88" ca="1">[1]!OIBR3.VarMes</f>
        <v>#VALUE!</v>
      </c>
      <c r="I88" t="e" cm="1" vm="1">
        <f t="array" aca="1" ref="I88" ca="1">[1]!OIBR3.Var12M</f>
        <v>#VALUE!</v>
      </c>
      <c r="J88" cm="1">
        <f t="array" ref="J88">[1]!OIBR3.Vol</f>
        <v>53800442</v>
      </c>
      <c r="K88" cm="1">
        <f t="array" ref="K88">[1]!OIBR3.QtdNeg</f>
        <v>6416</v>
      </c>
      <c r="L88" t="e" cm="1" vm="1">
        <f t="array" aca="1" ref="L88" ca="1">[1]!OIBR3.Fech</f>
        <v>#VALUE!</v>
      </c>
      <c r="M88" cm="1">
        <f t="array" ref="M88">[1]!OIBR3.IbovParticip</f>
        <v>0</v>
      </c>
      <c r="N88" t="str" cm="1">
        <f t="array" ref="N88">[1]!OIBR3.Desc</f>
        <v>OI ON N1</v>
      </c>
      <c r="O88" t="e" cm="1" vm="1">
        <f t="array" aca="1" ref="O88" ca="1">[1]!OIBR3.VarAnual</f>
        <v>#VALUE!</v>
      </c>
      <c r="P88" cm="1">
        <f t="array" ref="P88">[1]!OIBR3.Exerc</f>
        <v>0</v>
      </c>
      <c r="Q88" cm="1">
        <f t="array" ref="Q88">[1]!OIBR3.Expir</f>
        <v>0</v>
      </c>
    </row>
    <row r="89" spans="1:17" x14ac:dyDescent="0.25">
      <c r="A89" t="str" cm="1">
        <f t="array" ref="A89">[1]!OIBR4.Estado</f>
        <v>Normal</v>
      </c>
      <c r="B89" cm="1">
        <f t="array" ref="B89">[1]!OIBR4.PreTeo</f>
        <v>0</v>
      </c>
      <c r="C89" t="s">
        <v>148</v>
      </c>
      <c r="D89" t="e" cm="1" vm="1">
        <f t="array" aca="1" ref="D89" ca="1">[1]!OIBR4.Ult</f>
        <v>#VALUE!</v>
      </c>
      <c r="E89" t="e" cm="1" vm="1">
        <f t="array" aca="1" ref="E89" ca="1">[1]!OIBR4.VarPer</f>
        <v>#VALUE!</v>
      </c>
      <c r="F89" cm="1">
        <f t="array" ref="F89">[1]!OIBR4.Hora</f>
        <v>0.74934027777777779</v>
      </c>
      <c r="G89" t="e" cm="1" vm="1">
        <f t="array" aca="1" ref="G89" ca="1">[1]!OIBR4.VarSem</f>
        <v>#VALUE!</v>
      </c>
      <c r="H89" t="e" cm="1" vm="1">
        <f t="array" aca="1" ref="H89" ca="1">[1]!OIBR4.VarMes</f>
        <v>#VALUE!</v>
      </c>
      <c r="I89" t="e" cm="1" vm="1">
        <f t="array" aca="1" ref="I89" ca="1">[1]!OIBR4.Var12M</f>
        <v>#VALUE!</v>
      </c>
      <c r="J89" cm="1">
        <f t="array" ref="J89">[1]!OIBR4.Vol</f>
        <v>2107723</v>
      </c>
      <c r="K89" cm="1">
        <f t="array" ref="K89">[1]!OIBR4.QtdNeg</f>
        <v>711</v>
      </c>
      <c r="L89" t="e" cm="1" vm="1">
        <f t="array" aca="1" ref="L89" ca="1">[1]!OIBR4.Fech</f>
        <v>#VALUE!</v>
      </c>
      <c r="M89" cm="1">
        <f t="array" ref="M89">[1]!OIBR4.IbovParticip</f>
        <v>0</v>
      </c>
      <c r="N89" t="str" cm="1">
        <f t="array" ref="N89">[1]!OIBR4.Desc</f>
        <v>OI PN N1</v>
      </c>
      <c r="O89" t="e" cm="1" vm="1">
        <f t="array" aca="1" ref="O89" ca="1">[1]!OIBR4.VarAnual</f>
        <v>#VALUE!</v>
      </c>
      <c r="P89" cm="1">
        <f t="array" ref="P89">[1]!OIBR4.Exerc</f>
        <v>0</v>
      </c>
      <c r="Q89" cm="1">
        <f t="array" ref="Q89">[1]!OIBR4.Expir</f>
        <v>0</v>
      </c>
    </row>
    <row r="90" spans="1:17" x14ac:dyDescent="0.25">
      <c r="A90" t="str" cm="1">
        <f t="array" ref="A90">[1]!PCAR3.Estado</f>
        <v>Normal</v>
      </c>
      <c r="B90" cm="1">
        <f t="array" ref="B90">[1]!PCAR3.PreTeo</f>
        <v>0</v>
      </c>
      <c r="C90" t="s">
        <v>149</v>
      </c>
      <c r="D90" t="e" cm="1" vm="1">
        <f t="array" aca="1" ref="D90" ca="1">[1]!PCAR3.Ult</f>
        <v>#VALUE!</v>
      </c>
      <c r="E90" t="e" cm="1" vm="1">
        <f t="array" aca="1" ref="E90" ca="1">[1]!PCAR3.VarPer</f>
        <v>#VALUE!</v>
      </c>
      <c r="F90" cm="1">
        <f t="array" ref="F90">[1]!PCAR3.Hora</f>
        <v>0.74989583333333332</v>
      </c>
      <c r="G90" t="e" cm="1" vm="1">
        <f t="array" aca="1" ref="G90" ca="1">[1]!PCAR3.VarSem</f>
        <v>#VALUE!</v>
      </c>
      <c r="H90" t="e" cm="1" vm="1">
        <f t="array" aca="1" ref="H90" ca="1">[1]!PCAR3.VarMes</f>
        <v>#VALUE!</v>
      </c>
      <c r="I90" t="e" cm="1" vm="1">
        <f t="array" aca="1" ref="I90" ca="1">[1]!PCAR3.Var12M</f>
        <v>#VALUE!</v>
      </c>
      <c r="J90" cm="1">
        <f t="array" ref="J90">[1]!PCAR3.Vol</f>
        <v>24224643</v>
      </c>
      <c r="K90" cm="1">
        <f t="array" ref="K90">[1]!PCAR3.QtdNeg</f>
        <v>6544</v>
      </c>
      <c r="L90" t="e" cm="1" vm="1">
        <f t="array" aca="1" ref="L90" ca="1">[1]!PCAR3.Fech</f>
        <v>#VALUE!</v>
      </c>
      <c r="M90" t="e" cm="1" vm="1">
        <f t="array" aca="1" ref="M90" ca="1">[1]!PCAR3.IbovParticip</f>
        <v>#VALUE!</v>
      </c>
      <c r="N90" t="str" cm="1">
        <f t="array" ref="N90">[1]!PCAR3.Desc</f>
        <v>P.ACUCAR-CBDON NM</v>
      </c>
      <c r="O90" t="e" cm="1" vm="1">
        <f t="array" aca="1" ref="O90" ca="1">[1]!PCAR3.VarAnual</f>
        <v>#VALUE!</v>
      </c>
      <c r="P90" cm="1">
        <f t="array" ref="P90">[1]!PCAR3.Exerc</f>
        <v>0</v>
      </c>
      <c r="Q90" cm="1">
        <f t="array" ref="Q90">[1]!PCAR3.Expir</f>
        <v>0</v>
      </c>
    </row>
    <row r="91" spans="1:17" x14ac:dyDescent="0.25">
      <c r="A91" t="str" cm="1">
        <f t="array" ref="A91">[1]!PETR3.Estado</f>
        <v>Normal</v>
      </c>
      <c r="B91" cm="1">
        <f t="array" ref="B91">[1]!PETR3.PreTeo</f>
        <v>0</v>
      </c>
      <c r="C91" t="s">
        <v>34</v>
      </c>
      <c r="D91" t="e" cm="1" vm="1">
        <f t="array" aca="1" ref="D91" ca="1">[1]!PETR3.Ult</f>
        <v>#VALUE!</v>
      </c>
      <c r="E91" t="e" cm="1" vm="1">
        <f t="array" aca="1" ref="E91" ca="1">[1]!PETR3.VarPer</f>
        <v>#VALUE!</v>
      </c>
      <c r="F91" cm="1">
        <f t="array" ref="F91">[1]!PETR3.Hora</f>
        <v>0.74946759259259255</v>
      </c>
      <c r="G91" t="e" cm="1" vm="1">
        <f t="array" aca="1" ref="G91" ca="1">[1]!PETR3.VarSem</f>
        <v>#VALUE!</v>
      </c>
      <c r="H91" t="e" cm="1" vm="1">
        <f t="array" aca="1" ref="H91" ca="1">[1]!PETR3.VarMes</f>
        <v>#VALUE!</v>
      </c>
      <c r="I91" t="e" cm="1" vm="1">
        <f t="array" aca="1" ref="I91" ca="1">[1]!PETR3.Var12M</f>
        <v>#VALUE!</v>
      </c>
      <c r="J91" cm="1">
        <f t="array" ref="J91">[1]!PETR3.Vol</f>
        <v>680381906</v>
      </c>
      <c r="K91" cm="1">
        <f t="array" ref="K91">[1]!PETR3.QtdNeg</f>
        <v>36501</v>
      </c>
      <c r="L91" t="e" cm="1" vm="1">
        <f t="array" aca="1" ref="L91" ca="1">[1]!PETR3.Fech</f>
        <v>#VALUE!</v>
      </c>
      <c r="M91" t="e" cm="1" vm="1">
        <f t="array" aca="1" ref="M91" ca="1">[1]!PETR3.IbovParticip</f>
        <v>#VALUE!</v>
      </c>
      <c r="N91" t="str" cm="1">
        <f t="array" ref="N91">[1]!PETR3.Desc</f>
        <v>PETROBRAS ON EDJ N2</v>
      </c>
      <c r="O91" t="e" cm="1" vm="1">
        <f t="array" aca="1" ref="O91" ca="1">[1]!PETR3.VarAnual</f>
        <v>#VALUE!</v>
      </c>
      <c r="P91" cm="1">
        <f t="array" ref="P91">[1]!PETR3.Exerc</f>
        <v>0</v>
      </c>
      <c r="Q91" cm="1">
        <f t="array" ref="Q91">[1]!PETR3.Expir</f>
        <v>0</v>
      </c>
    </row>
    <row r="92" spans="1:17" x14ac:dyDescent="0.25">
      <c r="A92" t="str" cm="1">
        <f t="array" ref="A92">[1]!PETR4.Estado</f>
        <v>Normal</v>
      </c>
      <c r="B92" cm="1">
        <f t="array" ref="B92">[1]!PETR4.PreTeo</f>
        <v>0</v>
      </c>
      <c r="C92" t="s">
        <v>13</v>
      </c>
      <c r="D92" t="e" cm="1" vm="1">
        <f t="array" aca="1" ref="D92" ca="1">[1]!PETR4.Ult</f>
        <v>#VALUE!</v>
      </c>
      <c r="E92" t="e" cm="1" vm="1">
        <f t="array" aca="1" ref="E92" ca="1">[1]!PETR4.VarPer</f>
        <v>#VALUE!</v>
      </c>
      <c r="F92" cm="1">
        <f t="array" ref="F92">[1]!PETR4.Hora</f>
        <v>0.74981481481481482</v>
      </c>
      <c r="G92" t="e" cm="1" vm="1">
        <f t="array" aca="1" ref="G92" ca="1">[1]!PETR4.VarSem</f>
        <v>#VALUE!</v>
      </c>
      <c r="H92" cm="1">
        <f t="array" ref="H92">[1]!PETR4.VarMes</f>
        <v>16</v>
      </c>
      <c r="I92" t="e" cm="1" vm="1">
        <f t="array" aca="1" ref="I92" ca="1">[1]!PETR4.Var12M</f>
        <v>#VALUE!</v>
      </c>
      <c r="J92" cm="1">
        <f t="array" ref="J92">[1]!PETR4.Vol</f>
        <v>2929160476</v>
      </c>
      <c r="K92" cm="1">
        <f t="array" ref="K92">[1]!PETR4.QtdNeg</f>
        <v>132785</v>
      </c>
      <c r="L92" t="e" cm="1" vm="1">
        <f t="array" aca="1" ref="L92" ca="1">[1]!PETR4.Fech</f>
        <v>#VALUE!</v>
      </c>
      <c r="M92" t="e" cm="1" vm="1">
        <f t="array" aca="1" ref="M92" ca="1">[1]!PETR4.IbovParticip</f>
        <v>#VALUE!</v>
      </c>
      <c r="N92" t="str" cm="1">
        <f t="array" ref="N92">[1]!PETR4.Desc</f>
        <v>PETROBRAS PN EDJ N2</v>
      </c>
      <c r="O92" t="e" cm="1" vm="1">
        <f t="array" aca="1" ref="O92" ca="1">[1]!PETR4.VarAnual</f>
        <v>#VALUE!</v>
      </c>
      <c r="P92" cm="1">
        <f t="array" ref="P92">[1]!PETR4.Exerc</f>
        <v>0</v>
      </c>
      <c r="Q92" cm="1">
        <f t="array" ref="Q92">[1]!PETR4.Expir</f>
        <v>0</v>
      </c>
    </row>
    <row r="93" spans="1:17" x14ac:dyDescent="0.25">
      <c r="A93" t="str" cm="1">
        <f t="array" ref="A93">[1]!PETZ3.Estado</f>
        <v>Normal</v>
      </c>
      <c r="B93" cm="1">
        <f t="array" ref="B93">[1]!PETZ3.PreTeo</f>
        <v>0</v>
      </c>
      <c r="C93" t="s">
        <v>15</v>
      </c>
      <c r="D93" t="e" cm="1" vm="1">
        <f t="array" aca="1" ref="D93" ca="1">[1]!PETZ3.Ult</f>
        <v>#VALUE!</v>
      </c>
      <c r="E93" t="e" cm="1" vm="1">
        <f t="array" aca="1" ref="E93" ca="1">[1]!PETZ3.VarPer</f>
        <v>#VALUE!</v>
      </c>
      <c r="F93" cm="1">
        <f t="array" ref="F93">[1]!PETZ3.Hora</f>
        <v>0.74981481481481482</v>
      </c>
      <c r="G93" t="e" cm="1" vm="1">
        <f t="array" aca="1" ref="G93" ca="1">[1]!PETZ3.VarSem</f>
        <v>#VALUE!</v>
      </c>
      <c r="H93" t="e" cm="1" vm="1">
        <f t="array" aca="1" ref="H93" ca="1">[1]!PETZ3.VarMes</f>
        <v>#VALUE!</v>
      </c>
      <c r="I93" t="e" cm="1" vm="1">
        <f t="array" aca="1" ref="I93" ca="1">[1]!PETZ3.Var12M</f>
        <v>#VALUE!</v>
      </c>
      <c r="J93" cm="1">
        <f t="array" ref="J93">[1]!PETZ3.Vol</f>
        <v>272711735</v>
      </c>
      <c r="K93" cm="1">
        <f t="array" ref="K93">[1]!PETZ3.QtdNeg</f>
        <v>29063</v>
      </c>
      <c r="L93" t="e" cm="1" vm="1">
        <f t="array" aca="1" ref="L93" ca="1">[1]!PETZ3.Fech</f>
        <v>#VALUE!</v>
      </c>
      <c r="M93" t="e" cm="1" vm="1">
        <f t="array" aca="1" ref="M93" ca="1">[1]!PETZ3.IbovParticip</f>
        <v>#VALUE!</v>
      </c>
      <c r="N93" t="str" cm="1">
        <f t="array" ref="N93">[1]!PETZ3.Desc</f>
        <v>PETZ ON NM</v>
      </c>
      <c r="O93" t="e" cm="1" vm="1">
        <f t="array" aca="1" ref="O93" ca="1">[1]!PETZ3.VarAnual</f>
        <v>#VALUE!</v>
      </c>
      <c r="P93" cm="1">
        <f t="array" ref="P93">[1]!PETZ3.Exerc</f>
        <v>0</v>
      </c>
      <c r="Q93" cm="1">
        <f t="array" ref="Q93">[1]!PETZ3.Expir</f>
        <v>0</v>
      </c>
    </row>
    <row r="94" spans="1:17" x14ac:dyDescent="0.25">
      <c r="A94" t="str" cm="1">
        <f t="array" ref="A94">[1]!POSI3.Estado</f>
        <v>Normal</v>
      </c>
      <c r="B94" cm="1">
        <f t="array" ref="B94">[1]!POSI3.PreTeo</f>
        <v>0</v>
      </c>
      <c r="C94" t="s">
        <v>150</v>
      </c>
      <c r="D94" t="e" cm="1" vm="1">
        <f t="array" aca="1" ref="D94" ca="1">[1]!POSI3.Ult</f>
        <v>#VALUE!</v>
      </c>
      <c r="E94" t="e" cm="1" vm="1">
        <f t="array" aca="1" ref="E94" ca="1">[1]!POSI3.VarPer</f>
        <v>#VALUE!</v>
      </c>
      <c r="F94" cm="1">
        <f t="array" ref="F94">[1]!POSI3.Hora</f>
        <v>0.74997685185185192</v>
      </c>
      <c r="G94" t="e" cm="1" vm="1">
        <f t="array" aca="1" ref="G94" ca="1">[1]!POSI3.VarSem</f>
        <v>#VALUE!</v>
      </c>
      <c r="H94" t="e" cm="1" vm="1">
        <f t="array" aca="1" ref="H94" ca="1">[1]!POSI3.VarMes</f>
        <v>#VALUE!</v>
      </c>
      <c r="I94" t="e" cm="1" vm="1">
        <f t="array" aca="1" ref="I94" ca="1">[1]!POSI3.Var12M</f>
        <v>#VALUE!</v>
      </c>
      <c r="J94" cm="1">
        <f t="array" ref="J94">[1]!POSI3.Vol</f>
        <v>36262821</v>
      </c>
      <c r="K94" cm="1">
        <f t="array" ref="K94">[1]!POSI3.QtdNeg</f>
        <v>10106</v>
      </c>
      <c r="L94" t="e" cm="1" vm="1">
        <f t="array" aca="1" ref="L94" ca="1">[1]!POSI3.Fech</f>
        <v>#VALUE!</v>
      </c>
      <c r="M94" t="e" cm="1" vm="1">
        <f t="array" aca="1" ref="M94" ca="1">[1]!POSI3.IbovParticip</f>
        <v>#VALUE!</v>
      </c>
      <c r="N94" t="str" cm="1">
        <f t="array" ref="N94">[1]!POSI3.Desc</f>
        <v>POSITIVO TECON NM</v>
      </c>
      <c r="O94" t="e" cm="1" vm="1">
        <f t="array" aca="1" ref="O94" ca="1">[1]!POSI3.VarAnual</f>
        <v>#VALUE!</v>
      </c>
      <c r="P94" cm="1">
        <f t="array" ref="P94">[1]!POSI3.Exerc</f>
        <v>0</v>
      </c>
      <c r="Q94" cm="1">
        <f t="array" ref="Q94">[1]!POSI3.Expir</f>
        <v>0</v>
      </c>
    </row>
    <row r="95" spans="1:17" x14ac:dyDescent="0.25">
      <c r="A95" t="str" cm="1">
        <f t="array" ref="A95">[1]!PRIO3.Estado</f>
        <v>Normal</v>
      </c>
      <c r="B95" cm="1">
        <f t="array" ref="B95">[1]!PRIO3.PreTeo</f>
        <v>0</v>
      </c>
      <c r="C95" t="s">
        <v>17</v>
      </c>
      <c r="D95" t="e" cm="1" vm="1">
        <f t="array" aca="1" ref="D95" ca="1">[1]!PRIO3.Ult</f>
        <v>#VALUE!</v>
      </c>
      <c r="E95" t="e" cm="1" vm="1">
        <f t="array" aca="1" ref="E95" ca="1">[1]!PRIO3.VarPer</f>
        <v>#VALUE!</v>
      </c>
      <c r="F95" cm="1">
        <f t="array" ref="F95">[1]!PRIO3.Hora</f>
        <v>0.74986111111111109</v>
      </c>
      <c r="G95" t="e" cm="1" vm="1">
        <f t="array" aca="1" ref="G95" ca="1">[1]!PRIO3.VarSem</f>
        <v>#VALUE!</v>
      </c>
      <c r="H95" t="e" cm="1" vm="1">
        <f t="array" aca="1" ref="H95" ca="1">[1]!PRIO3.VarMes</f>
        <v>#VALUE!</v>
      </c>
      <c r="I95" t="e" cm="1" vm="1">
        <f t="array" aca="1" ref="I95" ca="1">[1]!PRIO3.Var12M</f>
        <v>#VALUE!</v>
      </c>
      <c r="J95" cm="1">
        <f t="array" ref="J95">[1]!PRIO3.Vol</f>
        <v>405583423</v>
      </c>
      <c r="K95" cm="1">
        <f t="array" ref="K95">[1]!PRIO3.QtdNeg</f>
        <v>50881</v>
      </c>
      <c r="L95" t="e" cm="1" vm="1">
        <f t="array" aca="1" ref="L95" ca="1">[1]!PRIO3.Fech</f>
        <v>#VALUE!</v>
      </c>
      <c r="M95" t="e" cm="1" vm="1">
        <f t="array" aca="1" ref="M95" ca="1">[1]!PRIO3.IbovParticip</f>
        <v>#VALUE!</v>
      </c>
      <c r="N95" t="str" cm="1">
        <f t="array" ref="N95">[1]!PRIO3.Desc</f>
        <v>PETRORIO ON NM</v>
      </c>
      <c r="O95" t="e" cm="1" vm="1">
        <f t="array" aca="1" ref="O95" ca="1">[1]!PRIO3.VarAnual</f>
        <v>#VALUE!</v>
      </c>
      <c r="P95" cm="1">
        <f t="array" ref="P95">[1]!PRIO3.Exerc</f>
        <v>0</v>
      </c>
      <c r="Q95" cm="1">
        <f t="array" ref="Q95">[1]!PRIO3.Expir</f>
        <v>0</v>
      </c>
    </row>
    <row r="96" spans="1:17" x14ac:dyDescent="0.25">
      <c r="A96" t="str" cm="1">
        <f t="array" ref="A96">[1]!PSSA3.Estado</f>
        <v>Normal</v>
      </c>
      <c r="B96" cm="1">
        <f t="array" ref="B96">[1]!PSSA3.PreTeo</f>
        <v>0</v>
      </c>
      <c r="C96" t="s">
        <v>151</v>
      </c>
      <c r="D96" t="e" cm="1" vm="1">
        <f t="array" aca="1" ref="D96" ca="1">[1]!PSSA3.Ult</f>
        <v>#VALUE!</v>
      </c>
      <c r="E96" t="e" cm="1" vm="1">
        <f t="array" aca="1" ref="E96" ca="1">[1]!PSSA3.VarPer</f>
        <v>#VALUE!</v>
      </c>
      <c r="F96" cm="1">
        <f t="array" ref="F96">[1]!PSSA3.Hora</f>
        <v>0.74815972222222227</v>
      </c>
      <c r="G96" t="e" cm="1" vm="1">
        <f t="array" aca="1" ref="G96" ca="1">[1]!PSSA3.VarSem</f>
        <v>#VALUE!</v>
      </c>
      <c r="H96" t="e" cm="1" vm="1">
        <f t="array" aca="1" ref="H96" ca="1">[1]!PSSA3.VarMes</f>
        <v>#VALUE!</v>
      </c>
      <c r="I96" t="e" cm="1" vm="1">
        <f t="array" aca="1" ref="I96" ca="1">[1]!PSSA3.Var12M</f>
        <v>#VALUE!</v>
      </c>
      <c r="J96" cm="1">
        <f t="array" ref="J96">[1]!PSSA3.Vol</f>
        <v>28708799</v>
      </c>
      <c r="K96" cm="1">
        <f t="array" ref="K96">[1]!PSSA3.QtdNeg</f>
        <v>7460</v>
      </c>
      <c r="L96" t="e" cm="1" vm="1">
        <f t="array" aca="1" ref="L96" ca="1">[1]!PSSA3.Fech</f>
        <v>#VALUE!</v>
      </c>
      <c r="M96" cm="1">
        <f t="array" ref="M96">[1]!PSSA3.IbovParticip</f>
        <v>0</v>
      </c>
      <c r="N96" t="str" cm="1">
        <f t="array" ref="N96">[1]!PSSA3.Desc</f>
        <v>PORTO SEGUROON NM</v>
      </c>
      <c r="O96" t="e" cm="1" vm="1">
        <f t="array" aca="1" ref="O96" ca="1">[1]!PSSA3.VarAnual</f>
        <v>#VALUE!</v>
      </c>
      <c r="P96" cm="1">
        <f t="array" ref="P96">[1]!PSSA3.Exerc</f>
        <v>0</v>
      </c>
      <c r="Q96" cm="1">
        <f t="array" ref="Q96">[1]!PSSA3.Expir</f>
        <v>0</v>
      </c>
    </row>
    <row r="97" spans="1:17" x14ac:dyDescent="0.25">
      <c r="A97" t="str" cm="1">
        <f t="array" ref="A97">[1]!QUAL3.Estado</f>
        <v>Normal</v>
      </c>
      <c r="B97" cm="1">
        <f t="array" ref="B97">[1]!QUAL3.PreTeo</f>
        <v>0</v>
      </c>
      <c r="C97" t="s">
        <v>152</v>
      </c>
      <c r="D97" t="e" cm="1" vm="1">
        <f t="array" aca="1" ref="D97" ca="1">[1]!QUAL3.Ult</f>
        <v>#VALUE!</v>
      </c>
      <c r="E97" t="e" cm="1" vm="1">
        <f t="array" aca="1" ref="E97" ca="1">[1]!QUAL3.VarPer</f>
        <v>#VALUE!</v>
      </c>
      <c r="F97" cm="1">
        <f t="array" ref="F97">[1]!QUAL3.Hora</f>
        <v>0.74761574074074078</v>
      </c>
      <c r="G97" t="e" cm="1" vm="1">
        <f t="array" aca="1" ref="G97" ca="1">[1]!QUAL3.VarSem</f>
        <v>#VALUE!</v>
      </c>
      <c r="H97" t="e" cm="1" vm="1">
        <f t="array" aca="1" ref="H97" ca="1">[1]!QUAL3.VarMes</f>
        <v>#VALUE!</v>
      </c>
      <c r="I97" t="e" cm="1" vm="1">
        <f t="array" aca="1" ref="I97" ca="1">[1]!QUAL3.Var12M</f>
        <v>#VALUE!</v>
      </c>
      <c r="J97" cm="1">
        <f t="array" ref="J97">[1]!QUAL3.Vol</f>
        <v>23284411</v>
      </c>
      <c r="K97" cm="1">
        <f t="array" ref="K97">[1]!QUAL3.QtdNeg</f>
        <v>9857</v>
      </c>
      <c r="L97" t="e" cm="1" vm="1">
        <f t="array" aca="1" ref="L97" ca="1">[1]!QUAL3.Fech</f>
        <v>#VALUE!</v>
      </c>
      <c r="M97" t="e" cm="1" vm="1">
        <f t="array" aca="1" ref="M97" ca="1">[1]!QUAL3.IbovParticip</f>
        <v>#VALUE!</v>
      </c>
      <c r="N97" t="str" cm="1">
        <f t="array" ref="N97">[1]!QUAL3.Desc</f>
        <v>QUALICORP ON NM</v>
      </c>
      <c r="O97" t="e" cm="1" vm="1">
        <f t="array" aca="1" ref="O97" ca="1">[1]!QUAL3.VarAnual</f>
        <v>#VALUE!</v>
      </c>
      <c r="P97" cm="1">
        <f t="array" ref="P97">[1]!QUAL3.Exerc</f>
        <v>0</v>
      </c>
      <c r="Q97" cm="1">
        <f t="array" ref="Q97">[1]!QUAL3.Expir</f>
        <v>0</v>
      </c>
    </row>
    <row r="98" spans="1:17" x14ac:dyDescent="0.25">
      <c r="A98" t="str" cm="1">
        <f t="array" ref="A98">[1]!RADL3.Estado</f>
        <v>Normal</v>
      </c>
      <c r="B98" cm="1">
        <f t="array" ref="B98">[1]!RADL3.PreTeo</f>
        <v>0</v>
      </c>
      <c r="C98" t="s">
        <v>153</v>
      </c>
      <c r="D98" t="e" cm="1" vm="1">
        <f t="array" aca="1" ref="D98" ca="1">[1]!RADL3.Ult</f>
        <v>#VALUE!</v>
      </c>
      <c r="E98" t="e" cm="1" vm="1">
        <f t="array" aca="1" ref="E98" ca="1">[1]!RADL3.VarPer</f>
        <v>#VALUE!</v>
      </c>
      <c r="F98" cm="1">
        <f t="array" ref="F98">[1]!RADL3.Hora</f>
        <v>0.74966435185185187</v>
      </c>
      <c r="G98" t="e" cm="1" vm="1">
        <f t="array" aca="1" ref="G98" ca="1">[1]!RADL3.VarSem</f>
        <v>#VALUE!</v>
      </c>
      <c r="H98" t="e" cm="1" vm="1">
        <f t="array" aca="1" ref="H98" ca="1">[1]!RADL3.VarMes</f>
        <v>#VALUE!</v>
      </c>
      <c r="I98" t="e" cm="1" vm="1">
        <f t="array" aca="1" ref="I98" ca="1">[1]!RADL3.Var12M</f>
        <v>#VALUE!</v>
      </c>
      <c r="J98" cm="1">
        <f t="array" ref="J98">[1]!RADL3.Vol</f>
        <v>103043051</v>
      </c>
      <c r="K98" cm="1">
        <f t="array" ref="K98">[1]!RADL3.QtdNeg</f>
        <v>11334</v>
      </c>
      <c r="L98" t="e" cm="1" vm="1">
        <f t="array" aca="1" ref="L98" ca="1">[1]!RADL3.Fech</f>
        <v>#VALUE!</v>
      </c>
      <c r="M98" t="e" cm="1" vm="1">
        <f t="array" aca="1" ref="M98" ca="1">[1]!RADL3.IbovParticip</f>
        <v>#VALUE!</v>
      </c>
      <c r="N98" t="str" cm="1">
        <f t="array" ref="N98">[1]!RADL3.Desc</f>
        <v>RAIADROGASILON NM</v>
      </c>
      <c r="O98" t="e" cm="1" vm="1">
        <f t="array" aca="1" ref="O98" ca="1">[1]!RADL3.VarAnual</f>
        <v>#VALUE!</v>
      </c>
      <c r="P98" cm="1">
        <f t="array" ref="P98">[1]!RADL3.Exerc</f>
        <v>0</v>
      </c>
      <c r="Q98" cm="1">
        <f t="array" ref="Q98">[1]!RADL3.Expir</f>
        <v>0</v>
      </c>
    </row>
    <row r="99" spans="1:17" x14ac:dyDescent="0.25">
      <c r="A99" t="str" cm="1">
        <f t="array" ref="A99">[1]!RAIL3.Estado</f>
        <v>Normal</v>
      </c>
      <c r="B99" cm="1">
        <f t="array" ref="B99">[1]!RAIL3.PreTeo</f>
        <v>0</v>
      </c>
      <c r="C99" t="s">
        <v>154</v>
      </c>
      <c r="D99" t="e" cm="1" vm="1">
        <f t="array" aca="1" ref="D99" ca="1">[1]!RAIL3.Ult</f>
        <v>#VALUE!</v>
      </c>
      <c r="E99" t="e" cm="1" vm="1">
        <f t="array" aca="1" ref="E99" ca="1">[1]!RAIL3.VarPer</f>
        <v>#VALUE!</v>
      </c>
      <c r="F99" cm="1">
        <f t="array" ref="F99">[1]!RAIL3.Hora</f>
        <v>0.74290509259259263</v>
      </c>
      <c r="G99" t="e" cm="1" vm="1">
        <f t="array" aca="1" ref="G99" ca="1">[1]!RAIL3.VarSem</f>
        <v>#VALUE!</v>
      </c>
      <c r="H99" t="e" cm="1" vm="1">
        <f t="array" aca="1" ref="H99" ca="1">[1]!RAIL3.VarMes</f>
        <v>#VALUE!</v>
      </c>
      <c r="I99" t="e" cm="1" vm="1">
        <f t="array" aca="1" ref="I99" ca="1">[1]!RAIL3.Var12M</f>
        <v>#VALUE!</v>
      </c>
      <c r="J99" cm="1">
        <f t="array" ref="J99">[1]!RAIL3.Vol</f>
        <v>116646422</v>
      </c>
      <c r="K99" cm="1">
        <f t="array" ref="K99">[1]!RAIL3.QtdNeg</f>
        <v>15695</v>
      </c>
      <c r="L99" t="e" cm="1" vm="1">
        <f t="array" aca="1" ref="L99" ca="1">[1]!RAIL3.Fech</f>
        <v>#VALUE!</v>
      </c>
      <c r="M99" t="e" cm="1" vm="1">
        <f t="array" aca="1" ref="M99" ca="1">[1]!RAIL3.IbovParticip</f>
        <v>#VALUE!</v>
      </c>
      <c r="N99" t="str" cm="1">
        <f t="array" ref="N99">[1]!RAIL3.Desc</f>
        <v>RUMO S.A. ON NM</v>
      </c>
      <c r="O99" t="e" cm="1" vm="1">
        <f t="array" aca="1" ref="O99" ca="1">[1]!RAIL3.VarAnual</f>
        <v>#VALUE!</v>
      </c>
      <c r="P99" cm="1">
        <f t="array" ref="P99">[1]!RAIL3.Exerc</f>
        <v>0</v>
      </c>
      <c r="Q99" cm="1">
        <f t="array" ref="Q99">[1]!RAIL3.Expir</f>
        <v>0</v>
      </c>
    </row>
    <row r="100" spans="1:17" x14ac:dyDescent="0.25">
      <c r="A100" t="str" cm="1">
        <f t="array" ref="A100">[1]!RANI3.Estado</f>
        <v>Normal</v>
      </c>
      <c r="B100" cm="1">
        <f t="array" ref="B100">[1]!RANI3.PreTeo</f>
        <v>0</v>
      </c>
      <c r="C100" t="s">
        <v>155</v>
      </c>
      <c r="D100" t="e" cm="1" vm="1">
        <f t="array" aca="1" ref="D100" ca="1">[1]!RANI3.Ult</f>
        <v>#VALUE!</v>
      </c>
      <c r="E100" t="e" cm="1" vm="1">
        <f t="array" aca="1" ref="E100" ca="1">[1]!RANI3.VarPer</f>
        <v>#VALUE!</v>
      </c>
      <c r="F100" cm="1">
        <f t="array" ref="F100">[1]!RANI3.Hora</f>
        <v>0.74487268518518512</v>
      </c>
      <c r="G100" t="e" cm="1" vm="1">
        <f t="array" aca="1" ref="G100" ca="1">[1]!RANI3.VarSem</f>
        <v>#VALUE!</v>
      </c>
      <c r="H100" t="e" cm="1" vm="1">
        <f t="array" aca="1" ref="H100" ca="1">[1]!RANI3.VarMes</f>
        <v>#VALUE!</v>
      </c>
      <c r="I100" t="e" cm="1" vm="1">
        <f t="array" aca="1" ref="I100" ca="1">[1]!RANI3.Var12M</f>
        <v>#VALUE!</v>
      </c>
      <c r="J100" cm="1">
        <f t="array" ref="J100">[1]!RANI3.Vol</f>
        <v>9968578</v>
      </c>
      <c r="K100" cm="1">
        <f t="array" ref="K100">[1]!RANI3.QtdNeg</f>
        <v>3682</v>
      </c>
      <c r="L100" t="e" cm="1" vm="1">
        <f t="array" aca="1" ref="L100" ca="1">[1]!RANI3.Fech</f>
        <v>#VALUE!</v>
      </c>
      <c r="M100" cm="1">
        <f t="array" ref="M100">[1]!RANI3.IbovParticip</f>
        <v>0</v>
      </c>
      <c r="N100" t="str" cm="1">
        <f t="array" ref="N100">[1]!RANI3.Desc</f>
        <v>IRANI ON NM</v>
      </c>
      <c r="O100" t="e" cm="1" vm="1">
        <f t="array" aca="1" ref="O100" ca="1">[1]!RANI3.VarAnual</f>
        <v>#VALUE!</v>
      </c>
      <c r="P100" cm="1">
        <f t="array" ref="P100">[1]!RANI3.Exerc</f>
        <v>0</v>
      </c>
      <c r="Q100" cm="1">
        <f t="array" ref="Q100">[1]!RANI3.Expir</f>
        <v>0</v>
      </c>
    </row>
    <row r="101" spans="1:17" x14ac:dyDescent="0.25">
      <c r="A101" t="str" cm="1">
        <f t="array" ref="A101">[1]!RAPT4.Estado</f>
        <v>Normal</v>
      </c>
      <c r="B101" cm="1">
        <f t="array" ref="B101">[1]!RAPT4.PreTeo</f>
        <v>0</v>
      </c>
      <c r="C101" t="s">
        <v>156</v>
      </c>
      <c r="D101" t="e" cm="1" vm="1">
        <f t="array" aca="1" ref="D101" ca="1">[1]!RAPT4.Ult</f>
        <v>#VALUE!</v>
      </c>
      <c r="E101" t="e" cm="1" vm="1">
        <f t="array" aca="1" ref="E101" ca="1">[1]!RAPT4.VarPer</f>
        <v>#VALUE!</v>
      </c>
      <c r="F101" cm="1">
        <f t="array" ref="F101">[1]!RAPT4.Hora</f>
        <v>0.74960648148148146</v>
      </c>
      <c r="G101" t="e" cm="1" vm="1">
        <f t="array" aca="1" ref="G101" ca="1">[1]!RAPT4.VarSem</f>
        <v>#VALUE!</v>
      </c>
      <c r="H101" t="e" cm="1" vm="1">
        <f t="array" aca="1" ref="H101" ca="1">[1]!RAPT4.VarMes</f>
        <v>#VALUE!</v>
      </c>
      <c r="I101" t="e" cm="1" vm="1">
        <f t="array" aca="1" ref="I101" ca="1">[1]!RAPT4.Var12M</f>
        <v>#VALUE!</v>
      </c>
      <c r="J101" cm="1">
        <f t="array" ref="J101">[1]!RAPT4.Vol</f>
        <v>11554005</v>
      </c>
      <c r="K101" cm="1">
        <f t="array" ref="K101">[1]!RAPT4.QtdNeg</f>
        <v>3717</v>
      </c>
      <c r="L101" t="e" cm="1" vm="1">
        <f t="array" aca="1" ref="L101" ca="1">[1]!RAPT4.Fech</f>
        <v>#VALUE!</v>
      </c>
      <c r="M101" cm="1">
        <f t="array" ref="M101">[1]!RAPT4.IbovParticip</f>
        <v>0</v>
      </c>
      <c r="N101" t="str" cm="1">
        <f t="array" ref="N101">[1]!RAPT4.Desc</f>
        <v>RANDON PART PN N1</v>
      </c>
      <c r="O101" t="e" cm="1" vm="1">
        <f t="array" aca="1" ref="O101" ca="1">[1]!RAPT4.VarAnual</f>
        <v>#VALUE!</v>
      </c>
      <c r="P101" cm="1">
        <f t="array" ref="P101">[1]!RAPT4.Exerc</f>
        <v>0</v>
      </c>
      <c r="Q101" cm="1">
        <f t="array" ref="Q101">[1]!RAPT4.Expir</f>
        <v>0</v>
      </c>
    </row>
    <row r="102" spans="1:17" x14ac:dyDescent="0.25">
      <c r="A102" t="str" cm="1">
        <f t="array" ref="A102">[1]!RDOR3.Estado</f>
        <v>Normal</v>
      </c>
      <c r="B102" cm="1">
        <f t="array" ref="B102">[1]!RDOR3.PreTeo</f>
        <v>0</v>
      </c>
      <c r="C102" t="s">
        <v>157</v>
      </c>
      <c r="D102" t="e" cm="1" vm="1">
        <f t="array" aca="1" ref="D102" ca="1">[1]!RDOR3.Ult</f>
        <v>#VALUE!</v>
      </c>
      <c r="E102" t="e" cm="1" vm="1">
        <f t="array" aca="1" ref="E102" ca="1">[1]!RDOR3.VarPer</f>
        <v>#VALUE!</v>
      </c>
      <c r="F102" cm="1">
        <f t="array" ref="F102">[1]!RDOR3.Hora</f>
        <v>0.74895833333333339</v>
      </c>
      <c r="G102" t="e" cm="1" vm="1">
        <f t="array" aca="1" ref="G102" ca="1">[1]!RDOR3.VarSem</f>
        <v>#VALUE!</v>
      </c>
      <c r="H102" t="e" cm="1" vm="1">
        <f t="array" aca="1" ref="H102" ca="1">[1]!RDOR3.VarMes</f>
        <v>#VALUE!</v>
      </c>
      <c r="I102" t="e" cm="1" vm="1">
        <f t="array" aca="1" ref="I102" ca="1">[1]!RDOR3.Var12M</f>
        <v>#VALUE!</v>
      </c>
      <c r="J102" cm="1">
        <f t="array" ref="J102">[1]!RDOR3.Vol</f>
        <v>106723683</v>
      </c>
      <c r="K102" cm="1">
        <f t="array" ref="K102">[1]!RDOR3.QtdNeg</f>
        <v>13260</v>
      </c>
      <c r="L102" t="e" cm="1" vm="1">
        <f t="array" aca="1" ref="L102" ca="1">[1]!RDOR3.Fech</f>
        <v>#VALUE!</v>
      </c>
      <c r="M102" t="e" cm="1" vm="1">
        <f t="array" aca="1" ref="M102" ca="1">[1]!RDOR3.IbovParticip</f>
        <v>#VALUE!</v>
      </c>
      <c r="N102" t="str" cm="1">
        <f t="array" ref="N102">[1]!RDOR3.Desc</f>
        <v>REDE D OR ON NM</v>
      </c>
      <c r="O102" t="e" cm="1" vm="1">
        <f t="array" aca="1" ref="O102" ca="1">[1]!RDOR3.VarAnual</f>
        <v>#VALUE!</v>
      </c>
      <c r="P102" cm="1">
        <f t="array" ref="P102">[1]!RDOR3.Exerc</f>
        <v>0</v>
      </c>
      <c r="Q102" cm="1">
        <f t="array" ref="Q102">[1]!RDOR3.Expir</f>
        <v>0</v>
      </c>
    </row>
    <row r="103" spans="1:17" x14ac:dyDescent="0.25">
      <c r="A103" t="str" cm="1">
        <f t="array" ref="A103">[1]!RENT3.Estado</f>
        <v>Normal</v>
      </c>
      <c r="B103" cm="1">
        <f t="array" ref="B103">[1]!RENT3.PreTeo</f>
        <v>0</v>
      </c>
      <c r="C103" t="s">
        <v>158</v>
      </c>
      <c r="D103" t="e" cm="1" vm="1">
        <f t="array" aca="1" ref="D103" ca="1">[1]!RENT3.Ult</f>
        <v>#VALUE!</v>
      </c>
      <c r="E103" t="e" cm="1" vm="1">
        <f t="array" aca="1" ref="E103" ca="1">[1]!RENT3.VarPer</f>
        <v>#VALUE!</v>
      </c>
      <c r="F103" cm="1">
        <f t="array" ref="F103">[1]!RENT3.Hora</f>
        <v>0.74859953703703708</v>
      </c>
      <c r="G103" t="e" cm="1" vm="1">
        <f t="array" aca="1" ref="G103" ca="1">[1]!RENT3.VarSem</f>
        <v>#VALUE!</v>
      </c>
      <c r="H103" t="e" cm="1" vm="1">
        <f t="array" aca="1" ref="H103" ca="1">[1]!RENT3.VarMes</f>
        <v>#VALUE!</v>
      </c>
      <c r="I103" t="e" cm="1" vm="1">
        <f t="array" aca="1" ref="I103" ca="1">[1]!RENT3.Var12M</f>
        <v>#VALUE!</v>
      </c>
      <c r="J103" cm="1">
        <f t="array" ref="J103">[1]!RENT3.Vol</f>
        <v>164598370</v>
      </c>
      <c r="K103" cm="1">
        <f t="array" ref="K103">[1]!RENT3.QtdNeg</f>
        <v>15136</v>
      </c>
      <c r="L103" t="e" cm="1" vm="1">
        <f t="array" aca="1" ref="L103" ca="1">[1]!RENT3.Fech</f>
        <v>#VALUE!</v>
      </c>
      <c r="M103" t="e" cm="1" vm="1">
        <f t="array" aca="1" ref="M103" ca="1">[1]!RENT3.IbovParticip</f>
        <v>#VALUE!</v>
      </c>
      <c r="N103" t="str" cm="1">
        <f t="array" ref="N103">[1]!RENT3.Desc</f>
        <v>LOCALIZA ON NM</v>
      </c>
      <c r="O103" t="e" cm="1" vm="1">
        <f t="array" aca="1" ref="O103" ca="1">[1]!RENT3.VarAnual</f>
        <v>#VALUE!</v>
      </c>
      <c r="P103" cm="1">
        <f t="array" ref="P103">[1]!RENT3.Exerc</f>
        <v>0</v>
      </c>
      <c r="Q103" cm="1">
        <f t="array" ref="Q103">[1]!RENT3.Expir</f>
        <v>0</v>
      </c>
    </row>
    <row r="104" spans="1:17" x14ac:dyDescent="0.25">
      <c r="A104" t="str" cm="1">
        <f t="array" ref="A104">[1]!RRRP3.Estado</f>
        <v>Normal</v>
      </c>
      <c r="B104" cm="1">
        <f t="array" ref="B104">[1]!RRRP3.PreTeo</f>
        <v>0</v>
      </c>
      <c r="C104" t="s">
        <v>159</v>
      </c>
      <c r="D104" t="e" cm="1" vm="1">
        <f t="array" aca="1" ref="D104" ca="1">[1]!RRRP3.Ult</f>
        <v>#VALUE!</v>
      </c>
      <c r="E104" t="e" cm="1" vm="1">
        <f t="array" aca="1" ref="E104" ca="1">[1]!RRRP3.VarPer</f>
        <v>#VALUE!</v>
      </c>
      <c r="F104" cm="1">
        <f t="array" ref="F104">[1]!RRRP3.Hora</f>
        <v>0.74994212962962958</v>
      </c>
      <c r="G104" t="e" cm="1" vm="1">
        <f t="array" aca="1" ref="G104" ca="1">[1]!RRRP3.VarSem</f>
        <v>#VALUE!</v>
      </c>
      <c r="H104" t="e" cm="1" vm="1">
        <f t="array" aca="1" ref="H104" ca="1">[1]!RRRP3.VarMes</f>
        <v>#VALUE!</v>
      </c>
      <c r="I104" t="e" cm="1" vm="1">
        <f t="array" aca="1" ref="I104" ca="1">[1]!RRRP3.Var12M</f>
        <v>#VALUE!</v>
      </c>
      <c r="J104" cm="1">
        <f t="array" ref="J104">[1]!RRRP3.Vol</f>
        <v>114727095</v>
      </c>
      <c r="K104" cm="1">
        <f t="array" ref="K104">[1]!RRRP3.QtdNeg</f>
        <v>11890</v>
      </c>
      <c r="L104" t="e" cm="1" vm="1">
        <f t="array" aca="1" ref="L104" ca="1">[1]!RRRP3.Fech</f>
        <v>#VALUE!</v>
      </c>
      <c r="M104" t="e" cm="1" vm="1">
        <f t="array" aca="1" ref="M104" ca="1">[1]!RRRP3.IbovParticip</f>
        <v>#VALUE!</v>
      </c>
      <c r="N104" t="str" cm="1">
        <f t="array" ref="N104">[1]!RRRP3.Desc</f>
        <v>3R PETROLEUMON NM</v>
      </c>
      <c r="O104" t="e" cm="1" vm="1">
        <f t="array" aca="1" ref="O104" ca="1">[1]!RRRP3.VarAnual</f>
        <v>#VALUE!</v>
      </c>
      <c r="P104" cm="1">
        <f t="array" ref="P104">[1]!RRRP3.Exerc</f>
        <v>0</v>
      </c>
      <c r="Q104" cm="1">
        <f t="array" ref="Q104">[1]!RRRP3.Expir</f>
        <v>0</v>
      </c>
    </row>
    <row r="105" spans="1:17" x14ac:dyDescent="0.25">
      <c r="A105" t="str" cm="1">
        <f t="array" ref="A105">[1]!SANB11.Estado</f>
        <v>Normal</v>
      </c>
      <c r="B105" cm="1">
        <f t="array" ref="B105">[1]!SANB11.PreTeo</f>
        <v>0</v>
      </c>
      <c r="C105" t="s">
        <v>160</v>
      </c>
      <c r="D105" t="e" cm="1" vm="1">
        <f t="array" aca="1" ref="D105" ca="1">[1]!SANB11.Ult</f>
        <v>#VALUE!</v>
      </c>
      <c r="E105" t="e" cm="1" vm="1">
        <f t="array" aca="1" ref="E105" ca="1">[1]!SANB11.VarPer</f>
        <v>#VALUE!</v>
      </c>
      <c r="F105" cm="1">
        <f t="array" ref="F105">[1]!SANB11.Hora</f>
        <v>0.74833333333333341</v>
      </c>
      <c r="G105" t="e" cm="1" vm="1">
        <f t="array" aca="1" ref="G105" ca="1">[1]!SANB11.VarSem</f>
        <v>#VALUE!</v>
      </c>
      <c r="H105" t="e" cm="1" vm="1">
        <f t="array" aca="1" ref="H105" ca="1">[1]!SANB11.VarMes</f>
        <v>#VALUE!</v>
      </c>
      <c r="I105" t="e" cm="1" vm="1">
        <f t="array" aca="1" ref="I105" ca="1">[1]!SANB11.Var12M</f>
        <v>#VALUE!</v>
      </c>
      <c r="J105" cm="1">
        <f t="array" ref="J105">[1]!SANB11.Vol</f>
        <v>39573177</v>
      </c>
      <c r="K105" cm="1">
        <f t="array" ref="K105">[1]!SANB11.QtdNeg</f>
        <v>7116</v>
      </c>
      <c r="L105" t="e" cm="1" vm="1">
        <f t="array" aca="1" ref="L105" ca="1">[1]!SANB11.Fech</f>
        <v>#VALUE!</v>
      </c>
      <c r="M105" t="e" cm="1" vm="1">
        <f t="array" aca="1" ref="M105" ca="1">[1]!SANB11.IbovParticip</f>
        <v>#VALUE!</v>
      </c>
      <c r="N105" t="str" cm="1">
        <f t="array" ref="N105">[1]!SANB11.Desc</f>
        <v>SANTANDER BRUNT EJ</v>
      </c>
      <c r="O105" t="e" cm="1" vm="1">
        <f t="array" aca="1" ref="O105" ca="1">[1]!SANB11.VarAnual</f>
        <v>#VALUE!</v>
      </c>
      <c r="P105" cm="1">
        <f t="array" ref="P105">[1]!SANB11.Exerc</f>
        <v>0</v>
      </c>
      <c r="Q105" cm="1">
        <f t="array" ref="Q105">[1]!SANB11.Expir</f>
        <v>0</v>
      </c>
    </row>
    <row r="106" spans="1:17" x14ac:dyDescent="0.25">
      <c r="A106" t="str" cm="1">
        <f t="array" ref="A106">[1]!SAPR11.Estado</f>
        <v>Normal</v>
      </c>
      <c r="B106" cm="1">
        <f t="array" ref="B106">[1]!SAPR11.PreTeo</f>
        <v>0</v>
      </c>
      <c r="C106" t="s">
        <v>161</v>
      </c>
      <c r="D106" t="e" cm="1" vm="1">
        <f t="array" aca="1" ref="D106" ca="1">[1]!SAPR11.Ult</f>
        <v>#VALUE!</v>
      </c>
      <c r="E106" t="e" cm="1" vm="1">
        <f t="array" aca="1" ref="E106" ca="1">[1]!SAPR11.VarPer</f>
        <v>#VALUE!</v>
      </c>
      <c r="F106" cm="1">
        <f t="array" ref="F106">[1]!SAPR11.Hora</f>
        <v>0.7413657407407408</v>
      </c>
      <c r="G106" t="e" cm="1" vm="1">
        <f t="array" aca="1" ref="G106" ca="1">[1]!SAPR11.VarSem</f>
        <v>#VALUE!</v>
      </c>
      <c r="H106" t="e" cm="1" vm="1">
        <f t="array" aca="1" ref="H106" ca="1">[1]!SAPR11.VarMes</f>
        <v>#VALUE!</v>
      </c>
      <c r="I106" t="e" cm="1" vm="1">
        <f t="array" aca="1" ref="I106" ca="1">[1]!SAPR11.Var12M</f>
        <v>#VALUE!</v>
      </c>
      <c r="J106" cm="1">
        <f t="array" ref="J106">[1]!SAPR11.Vol</f>
        <v>18676164</v>
      </c>
      <c r="K106" cm="1">
        <f t="array" ref="K106">[1]!SAPR11.QtdNeg</f>
        <v>4341</v>
      </c>
      <c r="L106" t="e" cm="1" vm="1">
        <f t="array" aca="1" ref="L106" ca="1">[1]!SAPR11.Fech</f>
        <v>#VALUE!</v>
      </c>
      <c r="M106" cm="1">
        <f t="array" ref="M106">[1]!SAPR11.IbovParticip</f>
        <v>0</v>
      </c>
      <c r="N106" t="str" cm="1">
        <f t="array" ref="N106">[1]!SAPR11.Desc</f>
        <v>SANEPAR UNT N2</v>
      </c>
      <c r="O106" t="e" cm="1" vm="1">
        <f t="array" aca="1" ref="O106" ca="1">[1]!SAPR11.VarAnual</f>
        <v>#VALUE!</v>
      </c>
      <c r="P106" cm="1">
        <f t="array" ref="P106">[1]!SAPR11.Exerc</f>
        <v>0</v>
      </c>
      <c r="Q106" cm="1">
        <f t="array" ref="Q106">[1]!SAPR11.Expir</f>
        <v>0</v>
      </c>
    </row>
    <row r="107" spans="1:17" x14ac:dyDescent="0.25">
      <c r="A107" t="str" cm="1">
        <f t="array" ref="A107">[1]!SBSP3.Estado</f>
        <v>Normal</v>
      </c>
      <c r="B107" cm="1">
        <f t="array" ref="B107">[1]!SBSP3.PreTeo</f>
        <v>0</v>
      </c>
      <c r="C107" t="s">
        <v>162</v>
      </c>
      <c r="D107" t="e" cm="1" vm="1">
        <f t="array" aca="1" ref="D107" ca="1">[1]!SBSP3.Ult</f>
        <v>#VALUE!</v>
      </c>
      <c r="E107" t="e" cm="1" vm="1">
        <f t="array" aca="1" ref="E107" ca="1">[1]!SBSP3.VarPer</f>
        <v>#VALUE!</v>
      </c>
      <c r="F107" cm="1">
        <f t="array" ref="F107">[1]!SBSP3.Hora</f>
        <v>0.74864583333333334</v>
      </c>
      <c r="G107" t="e" cm="1" vm="1">
        <f t="array" aca="1" ref="G107" ca="1">[1]!SBSP3.VarSem</f>
        <v>#VALUE!</v>
      </c>
      <c r="H107" t="e" cm="1" vm="1">
        <f t="array" aca="1" ref="H107" ca="1">[1]!SBSP3.VarMes</f>
        <v>#VALUE!</v>
      </c>
      <c r="I107" t="e" cm="1" vm="1">
        <f t="array" aca="1" ref="I107" ca="1">[1]!SBSP3.Var12M</f>
        <v>#VALUE!</v>
      </c>
      <c r="J107" cm="1">
        <f t="array" ref="J107">[1]!SBSP3.Vol</f>
        <v>85721753</v>
      </c>
      <c r="K107" cm="1">
        <f t="array" ref="K107">[1]!SBSP3.QtdNeg</f>
        <v>9562</v>
      </c>
      <c r="L107" t="e" cm="1" vm="1">
        <f t="array" aca="1" ref="L107" ca="1">[1]!SBSP3.Fech</f>
        <v>#VALUE!</v>
      </c>
      <c r="M107" t="e" cm="1" vm="1">
        <f t="array" aca="1" ref="M107" ca="1">[1]!SBSP3.IbovParticip</f>
        <v>#VALUE!</v>
      </c>
      <c r="N107" t="str" cm="1">
        <f t="array" ref="N107">[1]!SBSP3.Desc</f>
        <v>SABESP ON NM</v>
      </c>
      <c r="O107" t="e" cm="1" vm="1">
        <f t="array" aca="1" ref="O107" ca="1">[1]!SBSP3.VarAnual</f>
        <v>#VALUE!</v>
      </c>
      <c r="P107" cm="1">
        <f t="array" ref="P107">[1]!SBSP3.Exerc</f>
        <v>0</v>
      </c>
      <c r="Q107" cm="1">
        <f t="array" ref="Q107">[1]!SBSP3.Expir</f>
        <v>0</v>
      </c>
    </row>
    <row r="108" spans="1:17" x14ac:dyDescent="0.25">
      <c r="A108" t="str" cm="1">
        <f t="array" ref="A108">[1]!SEER3.Estado</f>
        <v>Normal</v>
      </c>
      <c r="B108" cm="1">
        <f t="array" ref="B108">[1]!SEER3.PreTeo</f>
        <v>0</v>
      </c>
      <c r="C108" t="s">
        <v>163</v>
      </c>
      <c r="D108" t="e" cm="1" vm="1">
        <f t="array" aca="1" ref="D108" ca="1">[1]!SEER3.Ult</f>
        <v>#VALUE!</v>
      </c>
      <c r="E108" t="e" cm="1" vm="1">
        <f t="array" aca="1" ref="E108" ca="1">[1]!SEER3.VarPer</f>
        <v>#VALUE!</v>
      </c>
      <c r="F108" cm="1">
        <f t="array" ref="F108">[1]!SEER3.Hora</f>
        <v>0.74846064814814817</v>
      </c>
      <c r="G108" t="e" cm="1" vm="1">
        <f t="array" aca="1" ref="G108" ca="1">[1]!SEER3.VarSem</f>
        <v>#VALUE!</v>
      </c>
      <c r="H108" t="e" cm="1" vm="1">
        <f t="array" aca="1" ref="H108" ca="1">[1]!SEER3.VarMes</f>
        <v>#VALUE!</v>
      </c>
      <c r="I108" t="e" cm="1" vm="1">
        <f t="array" aca="1" ref="I108" ca="1">[1]!SEER3.Var12M</f>
        <v>#VALUE!</v>
      </c>
      <c r="J108" cm="1">
        <f t="array" ref="J108">[1]!SEER3.Vol</f>
        <v>2641396</v>
      </c>
      <c r="K108" cm="1">
        <f t="array" ref="K108">[1]!SEER3.QtdNeg</f>
        <v>1879</v>
      </c>
      <c r="L108" t="e" cm="1" vm="1">
        <f t="array" aca="1" ref="L108" ca="1">[1]!SEER3.Fech</f>
        <v>#VALUE!</v>
      </c>
      <c r="M108" cm="1">
        <f t="array" ref="M108">[1]!SEER3.IbovParticip</f>
        <v>0</v>
      </c>
      <c r="N108" t="str" cm="1">
        <f t="array" ref="N108">[1]!SEER3.Desc</f>
        <v>SER EDUCA ON NM</v>
      </c>
      <c r="O108" t="e" cm="1" vm="1">
        <f t="array" aca="1" ref="O108" ca="1">[1]!SEER3.VarAnual</f>
        <v>#VALUE!</v>
      </c>
      <c r="P108" cm="1">
        <f t="array" ref="P108">[1]!SEER3.Exerc</f>
        <v>0</v>
      </c>
      <c r="Q108" cm="1">
        <f t="array" ref="Q108">[1]!SEER3.Expir</f>
        <v>0</v>
      </c>
    </row>
    <row r="109" spans="1:17" x14ac:dyDescent="0.25">
      <c r="A109" t="str" cm="1">
        <f t="array" ref="A109">[1]!SLCE3.Estado</f>
        <v>Normal</v>
      </c>
      <c r="B109" cm="1">
        <f t="array" ref="B109">[1]!SLCE3.PreTeo</f>
        <v>0</v>
      </c>
      <c r="C109" t="s">
        <v>164</v>
      </c>
      <c r="D109" t="e" cm="1" vm="1">
        <f t="array" aca="1" ref="D109" ca="1">[1]!SLCE3.Ult</f>
        <v>#VALUE!</v>
      </c>
      <c r="E109" t="e" cm="1" vm="1">
        <f t="array" aca="1" ref="E109" ca="1">[1]!SLCE3.VarPer</f>
        <v>#VALUE!</v>
      </c>
      <c r="F109" cm="1">
        <f t="array" ref="F109">[1]!SLCE3.Hora</f>
        <v>0.74960648148148146</v>
      </c>
      <c r="G109" t="e" cm="1" vm="1">
        <f t="array" aca="1" ref="G109" ca="1">[1]!SLCE3.VarSem</f>
        <v>#VALUE!</v>
      </c>
      <c r="H109" t="e" cm="1" vm="1">
        <f t="array" aca="1" ref="H109" ca="1">[1]!SLCE3.VarMes</f>
        <v>#VALUE!</v>
      </c>
      <c r="I109" t="e" cm="1" vm="1">
        <f t="array" aca="1" ref="I109" ca="1">[1]!SLCE3.Var12M</f>
        <v>#VALUE!</v>
      </c>
      <c r="J109" cm="1">
        <f t="array" ref="J109">[1]!SLCE3.Vol</f>
        <v>56225307</v>
      </c>
      <c r="K109" cm="1">
        <f t="array" ref="K109">[1]!SLCE3.QtdNeg</f>
        <v>8331</v>
      </c>
      <c r="L109" t="e" cm="1" vm="1">
        <f t="array" aca="1" ref="L109" ca="1">[1]!SLCE3.Fech</f>
        <v>#VALUE!</v>
      </c>
      <c r="M109" t="e" cm="1" vm="1">
        <f t="array" aca="1" ref="M109" ca="1">[1]!SLCE3.IbovParticip</f>
        <v>#VALUE!</v>
      </c>
      <c r="N109" t="str" cm="1">
        <f t="array" ref="N109">[1]!SLCE3.Desc</f>
        <v>SLC AGRICOLAON NM</v>
      </c>
      <c r="O109" t="e" cm="1" vm="1">
        <f t="array" aca="1" ref="O109" ca="1">[1]!SLCE3.VarAnual</f>
        <v>#VALUE!</v>
      </c>
      <c r="P109" cm="1">
        <f t="array" ref="P109">[1]!SLCE3.Exerc</f>
        <v>0</v>
      </c>
      <c r="Q109" cm="1">
        <f t="array" ref="Q109">[1]!SLCE3.Expir</f>
        <v>0</v>
      </c>
    </row>
    <row r="110" spans="1:17" x14ac:dyDescent="0.25">
      <c r="A110" t="str" cm="1">
        <f t="array" ref="A110">[1]!SOMA3.Estado</f>
        <v>Normal</v>
      </c>
      <c r="B110" cm="1">
        <f t="array" ref="B110">[1]!SOMA3.PreTeo</f>
        <v>0</v>
      </c>
      <c r="C110" t="s">
        <v>165</v>
      </c>
      <c r="D110" t="e" cm="1" vm="1">
        <f t="array" aca="1" ref="D110" ca="1">[1]!SOMA3.Ult</f>
        <v>#VALUE!</v>
      </c>
      <c r="E110" t="e" cm="1" vm="1">
        <f t="array" aca="1" ref="E110" ca="1">[1]!SOMA3.VarPer</f>
        <v>#VALUE!</v>
      </c>
      <c r="F110" cm="1">
        <f t="array" ref="F110">[1]!SOMA3.Hora</f>
        <v>0.74966435185185187</v>
      </c>
      <c r="G110" t="e" cm="1" vm="1">
        <f t="array" aca="1" ref="G110" ca="1">[1]!SOMA3.VarSem</f>
        <v>#VALUE!</v>
      </c>
      <c r="H110" t="e" cm="1" vm="1">
        <f t="array" aca="1" ref="H110" ca="1">[1]!SOMA3.VarMes</f>
        <v>#VALUE!</v>
      </c>
      <c r="I110" t="e" cm="1" vm="1">
        <f t="array" aca="1" ref="I110" ca="1">[1]!SOMA3.Var12M</f>
        <v>#VALUE!</v>
      </c>
      <c r="J110" cm="1">
        <f t="array" ref="J110">[1]!SOMA3.Vol</f>
        <v>45369447</v>
      </c>
      <c r="K110" cm="1">
        <f t="array" ref="K110">[1]!SOMA3.QtdNeg</f>
        <v>10554</v>
      </c>
      <c r="L110" t="e" cm="1" vm="1">
        <f t="array" aca="1" ref="L110" ca="1">[1]!SOMA3.Fech</f>
        <v>#VALUE!</v>
      </c>
      <c r="M110" t="e" cm="1" vm="1">
        <f t="array" aca="1" ref="M110" ca="1">[1]!SOMA3.IbovParticip</f>
        <v>#VALUE!</v>
      </c>
      <c r="N110" t="str" cm="1">
        <f t="array" ref="N110">[1]!SOMA3.Desc</f>
        <v>GRUPO SOMA ON NM</v>
      </c>
      <c r="O110" t="e" cm="1" vm="1">
        <f t="array" aca="1" ref="O110" ca="1">[1]!SOMA3.VarAnual</f>
        <v>#VALUE!</v>
      </c>
      <c r="P110" cm="1">
        <f t="array" ref="P110">[1]!SOMA3.Exerc</f>
        <v>0</v>
      </c>
      <c r="Q110" cm="1">
        <f t="array" ref="Q110">[1]!SOMA3.Expir</f>
        <v>0</v>
      </c>
    </row>
    <row r="111" spans="1:17" x14ac:dyDescent="0.25">
      <c r="A111" t="str" cm="1">
        <f t="array" ref="A111">[1]!STBP3.Estado</f>
        <v>Normal</v>
      </c>
      <c r="B111" cm="1">
        <f t="array" ref="B111">[1]!STBP3.PreTeo</f>
        <v>0</v>
      </c>
      <c r="C111" t="s">
        <v>166</v>
      </c>
      <c r="D111" t="e" cm="1" vm="1">
        <f t="array" aca="1" ref="D111" ca="1">[1]!STBP3.Ult</f>
        <v>#VALUE!</v>
      </c>
      <c r="E111" t="e" cm="1" vm="1">
        <f t="array" aca="1" ref="E111" ca="1">[1]!STBP3.VarPer</f>
        <v>#VALUE!</v>
      </c>
      <c r="F111" cm="1">
        <f t="array" ref="F111">[1]!STBP3.Hora</f>
        <v>0.7493171296296296</v>
      </c>
      <c r="G111" t="e" cm="1" vm="1">
        <f t="array" aca="1" ref="G111" ca="1">[1]!STBP3.VarSem</f>
        <v>#VALUE!</v>
      </c>
      <c r="H111" t="e" cm="1" vm="1">
        <f t="array" aca="1" ref="H111" ca="1">[1]!STBP3.VarMes</f>
        <v>#VALUE!</v>
      </c>
      <c r="I111" t="e" cm="1" vm="1">
        <f t="array" aca="1" ref="I111" ca="1">[1]!STBP3.Var12M</f>
        <v>#VALUE!</v>
      </c>
      <c r="J111" cm="1">
        <f t="array" ref="J111">[1]!STBP3.Vol</f>
        <v>19437767</v>
      </c>
      <c r="K111" cm="1">
        <f t="array" ref="K111">[1]!STBP3.QtdNeg</f>
        <v>7303</v>
      </c>
      <c r="L111" t="e" cm="1" vm="1">
        <f t="array" aca="1" ref="L111" ca="1">[1]!STBP3.Fech</f>
        <v>#VALUE!</v>
      </c>
      <c r="M111" cm="1">
        <f t="array" ref="M111">[1]!STBP3.IbovParticip</f>
        <v>0</v>
      </c>
      <c r="N111" t="str" cm="1">
        <f t="array" ref="N111">[1]!STBP3.Desc</f>
        <v>SANTOS BRP ON NM</v>
      </c>
      <c r="O111" t="e" cm="1" vm="1">
        <f t="array" aca="1" ref="O111" ca="1">[1]!STBP3.VarAnual</f>
        <v>#VALUE!</v>
      </c>
      <c r="P111" cm="1">
        <f t="array" ref="P111">[1]!STBP3.Exerc</f>
        <v>0</v>
      </c>
      <c r="Q111" cm="1">
        <f t="array" ref="Q111">[1]!STBP3.Expir</f>
        <v>0</v>
      </c>
    </row>
    <row r="112" spans="1:17" x14ac:dyDescent="0.25">
      <c r="A112" t="str" cm="1">
        <f t="array" ref="A112">[1]!SULA11.Estado</f>
        <v>Normal</v>
      </c>
      <c r="B112" cm="1">
        <f t="array" ref="B112">[1]!SULA11.PreTeo</f>
        <v>0</v>
      </c>
      <c r="C112" t="s">
        <v>167</v>
      </c>
      <c r="D112" t="e" cm="1" vm="1">
        <f t="array" aca="1" ref="D112" ca="1">[1]!SULA11.Ult</f>
        <v>#VALUE!</v>
      </c>
      <c r="E112" t="e" cm="1" vm="1">
        <f t="array" aca="1" ref="E112" ca="1">[1]!SULA11.VarPer</f>
        <v>#VALUE!</v>
      </c>
      <c r="F112" cm="1">
        <f t="array" ref="F112">[1]!SULA11.Hora</f>
        <v>0.74944444444444447</v>
      </c>
      <c r="G112" t="e" cm="1" vm="1">
        <f t="array" aca="1" ref="G112" ca="1">[1]!SULA11.VarSem</f>
        <v>#VALUE!</v>
      </c>
      <c r="H112" t="e" cm="1" vm="1">
        <f t="array" aca="1" ref="H112" ca="1">[1]!SULA11.VarMes</f>
        <v>#VALUE!</v>
      </c>
      <c r="I112" t="e" cm="1" vm="1">
        <f t="array" aca="1" ref="I112" ca="1">[1]!SULA11.Var12M</f>
        <v>#VALUE!</v>
      </c>
      <c r="J112" cm="1">
        <f t="array" ref="J112">[1]!SULA11.Vol</f>
        <v>45979282</v>
      </c>
      <c r="K112" cm="1">
        <f t="array" ref="K112">[1]!SULA11.QtdNeg</f>
        <v>7801</v>
      </c>
      <c r="L112" t="e" cm="1" vm="1">
        <f t="array" aca="1" ref="L112" ca="1">[1]!SULA11.Fech</f>
        <v>#VALUE!</v>
      </c>
      <c r="M112" t="e" cm="1" vm="1">
        <f t="array" aca="1" ref="M112" ca="1">[1]!SULA11.IbovParticip</f>
        <v>#VALUE!</v>
      </c>
      <c r="N112" t="str" cm="1">
        <f t="array" ref="N112">[1]!SULA11.Desc</f>
        <v>SUL AMERICA UNT N2</v>
      </c>
      <c r="O112" t="e" cm="1" vm="1">
        <f t="array" aca="1" ref="O112" ca="1">[1]!SULA11.VarAnual</f>
        <v>#VALUE!</v>
      </c>
      <c r="P112" cm="1">
        <f t="array" ref="P112">[1]!SULA11.Exerc</f>
        <v>0</v>
      </c>
      <c r="Q112" cm="1">
        <f t="array" ref="Q112">[1]!SULA11.Expir</f>
        <v>0</v>
      </c>
    </row>
    <row r="113" spans="1:17" x14ac:dyDescent="0.25">
      <c r="A113" t="str" cm="1">
        <f t="array" ref="A113">[1]!SUZB3.Estado</f>
        <v>Normal</v>
      </c>
      <c r="B113" cm="1">
        <f t="array" ref="B113">[1]!SUZB3.PreTeo</f>
        <v>0</v>
      </c>
      <c r="C113" t="s">
        <v>168</v>
      </c>
      <c r="D113" t="e" cm="1" vm="1">
        <f t="array" aca="1" ref="D113" ca="1">[1]!SUZB3.Ult</f>
        <v>#VALUE!</v>
      </c>
      <c r="E113" t="e" cm="1" vm="1">
        <f t="array" aca="1" ref="E113" ca="1">[1]!SUZB3.VarPer</f>
        <v>#VALUE!</v>
      </c>
      <c r="F113" cm="1">
        <f t="array" ref="F113">[1]!SUZB3.Hora</f>
        <v>0.7494791666666667</v>
      </c>
      <c r="G113" t="e" cm="1" vm="1">
        <f t="array" aca="1" ref="G113" ca="1">[1]!SUZB3.VarSem</f>
        <v>#VALUE!</v>
      </c>
      <c r="H113" t="e" cm="1" vm="1">
        <f t="array" aca="1" ref="H113" ca="1">[1]!SUZB3.VarMes</f>
        <v>#VALUE!</v>
      </c>
      <c r="I113" t="e" cm="1" vm="1">
        <f t="array" aca="1" ref="I113" ca="1">[1]!SUZB3.Var12M</f>
        <v>#VALUE!</v>
      </c>
      <c r="J113" cm="1">
        <f t="array" ref="J113">[1]!SUZB3.Vol</f>
        <v>287783141</v>
      </c>
      <c r="K113" cm="1">
        <f t="array" ref="K113">[1]!SUZB3.QtdNeg</f>
        <v>25808</v>
      </c>
      <c r="L113" t="e" cm="1" vm="1">
        <f t="array" aca="1" ref="L113" ca="1">[1]!SUZB3.Fech</f>
        <v>#VALUE!</v>
      </c>
      <c r="M113" t="e" cm="1" vm="1">
        <f t="array" aca="1" ref="M113" ca="1">[1]!SUZB3.IbovParticip</f>
        <v>#VALUE!</v>
      </c>
      <c r="N113" t="str" cm="1">
        <f t="array" ref="N113">[1]!SUZB3.Desc</f>
        <v>SUZANO S.A. ON NM</v>
      </c>
      <c r="O113" t="e" cm="1" vm="1">
        <f t="array" aca="1" ref="O113" ca="1">[1]!SUZB3.VarAnual</f>
        <v>#VALUE!</v>
      </c>
      <c r="P113" cm="1">
        <f t="array" ref="P113">[1]!SUZB3.Exerc</f>
        <v>0</v>
      </c>
      <c r="Q113" cm="1">
        <f t="array" ref="Q113">[1]!SUZB3.Expir</f>
        <v>0</v>
      </c>
    </row>
    <row r="114" spans="1:17" x14ac:dyDescent="0.25">
      <c r="A114" t="str" cm="1">
        <f t="array" ref="A114">[1]!TAEE11.Estado</f>
        <v>Normal</v>
      </c>
      <c r="B114" cm="1">
        <f t="array" ref="B114">[1]!TAEE11.PreTeo</f>
        <v>0</v>
      </c>
      <c r="C114" t="s">
        <v>169</v>
      </c>
      <c r="D114" t="e" cm="1" vm="1">
        <f t="array" aca="1" ref="D114" ca="1">[1]!TAEE11.Ult</f>
        <v>#VALUE!</v>
      </c>
      <c r="E114" t="e" cm="1" vm="1">
        <f t="array" aca="1" ref="E114" ca="1">[1]!TAEE11.VarPer</f>
        <v>#VALUE!</v>
      </c>
      <c r="F114" cm="1">
        <f t="array" ref="F114">[1]!TAEE11.Hora</f>
        <v>0.74965277777777783</v>
      </c>
      <c r="G114" t="e" cm="1" vm="1">
        <f t="array" aca="1" ref="G114" ca="1">[1]!TAEE11.VarSem</f>
        <v>#VALUE!</v>
      </c>
      <c r="H114" t="e" cm="1" vm="1">
        <f t="array" aca="1" ref="H114" ca="1">[1]!TAEE11.VarMes</f>
        <v>#VALUE!</v>
      </c>
      <c r="I114" cm="1">
        <f t="array" ref="I114">[1]!TAEE11.Var12M</f>
        <v>16</v>
      </c>
      <c r="J114" cm="1">
        <f t="array" ref="J114">[1]!TAEE11.Vol</f>
        <v>49771453</v>
      </c>
      <c r="K114" cm="1">
        <f t="array" ref="K114">[1]!TAEE11.QtdNeg</f>
        <v>5929</v>
      </c>
      <c r="L114" t="e" cm="1" vm="1">
        <f t="array" aca="1" ref="L114" ca="1">[1]!TAEE11.Fech</f>
        <v>#VALUE!</v>
      </c>
      <c r="M114" t="e" cm="1" vm="1">
        <f t="array" aca="1" ref="M114" ca="1">[1]!TAEE11.IbovParticip</f>
        <v>#VALUE!</v>
      </c>
      <c r="N114" t="str" cm="1">
        <f t="array" ref="N114">[1]!TAEE11.Desc</f>
        <v>TAESA UNT EDJ N2</v>
      </c>
      <c r="O114" t="e" cm="1" vm="1">
        <f t="array" aca="1" ref="O114" ca="1">[1]!TAEE11.VarAnual</f>
        <v>#VALUE!</v>
      </c>
      <c r="P114" cm="1">
        <f t="array" ref="P114">[1]!TAEE11.Exerc</f>
        <v>0</v>
      </c>
      <c r="Q114" cm="1">
        <f t="array" ref="Q114">[1]!TAEE11.Expir</f>
        <v>0</v>
      </c>
    </row>
    <row r="115" spans="1:17" x14ac:dyDescent="0.25">
      <c r="A115" t="str" cm="1">
        <f t="array" ref="A115">[1]!TCSA3.Estado</f>
        <v>Normal</v>
      </c>
      <c r="B115" cm="1">
        <f t="array" ref="B115">[1]!TCSA3.PreTeo</f>
        <v>0</v>
      </c>
      <c r="C115" t="s">
        <v>170</v>
      </c>
      <c r="D115" t="e" cm="1" vm="1">
        <f t="array" aca="1" ref="D115" ca="1">[1]!TCSA3.Ult</f>
        <v>#VALUE!</v>
      </c>
      <c r="E115" t="e" cm="1" vm="1">
        <f t="array" aca="1" ref="E115" ca="1">[1]!TCSA3.VarPer</f>
        <v>#VALUE!</v>
      </c>
      <c r="F115" cm="1">
        <f t="array" ref="F115">[1]!TCSA3.Hora</f>
        <v>0.71319444444444446</v>
      </c>
      <c r="G115" t="e" cm="1" vm="1">
        <f t="array" aca="1" ref="G115" ca="1">[1]!TCSA3.VarSem</f>
        <v>#VALUE!</v>
      </c>
      <c r="H115" t="e" cm="1" vm="1">
        <f t="array" aca="1" ref="H115" ca="1">[1]!TCSA3.VarMes</f>
        <v>#VALUE!</v>
      </c>
      <c r="I115" t="e" cm="1" vm="1">
        <f t="array" aca="1" ref="I115" ca="1">[1]!TCSA3.Var12M</f>
        <v>#VALUE!</v>
      </c>
      <c r="J115" cm="1">
        <f t="array" ref="J115">[1]!TCSA3.Vol</f>
        <v>391327</v>
      </c>
      <c r="K115" cm="1">
        <f t="array" ref="K115">[1]!TCSA3.QtdNeg</f>
        <v>422</v>
      </c>
      <c r="L115" t="e" cm="1" vm="1">
        <f t="array" aca="1" ref="L115" ca="1">[1]!TCSA3.Fech</f>
        <v>#VALUE!</v>
      </c>
      <c r="M115" cm="1">
        <f t="array" ref="M115">[1]!TCSA3.IbovParticip</f>
        <v>0</v>
      </c>
      <c r="N115" t="str" cm="1">
        <f t="array" ref="N115">[1]!TCSA3.Desc</f>
        <v>TECNISA ON NM</v>
      </c>
      <c r="O115" t="e" cm="1" vm="1">
        <f t="array" aca="1" ref="O115" ca="1">[1]!TCSA3.VarAnual</f>
        <v>#VALUE!</v>
      </c>
      <c r="P115" cm="1">
        <f t="array" ref="P115">[1]!TCSA3.Exerc</f>
        <v>0</v>
      </c>
      <c r="Q115" cm="1">
        <f t="array" ref="Q115">[1]!TCSA3.Expir</f>
        <v>0</v>
      </c>
    </row>
    <row r="116" spans="1:17" x14ac:dyDescent="0.25">
      <c r="A116" t="str" cm="1">
        <f t="array" ref="A116">[1]!TIMS3.Estado</f>
        <v>Normal</v>
      </c>
      <c r="B116" cm="1">
        <f t="array" ref="B116">[1]!TIMS3.PreTeo</f>
        <v>0</v>
      </c>
      <c r="C116" t="s">
        <v>171</v>
      </c>
      <c r="D116" t="e" cm="1" vm="1">
        <f t="array" aca="1" ref="D116" ca="1">[1]!TIMS3.Ult</f>
        <v>#VALUE!</v>
      </c>
      <c r="E116" t="e" cm="1" vm="1">
        <f t="array" aca="1" ref="E116" ca="1">[1]!TIMS3.VarPer</f>
        <v>#VALUE!</v>
      </c>
      <c r="F116" cm="1">
        <f t="array" ref="F116">[1]!TIMS3.Hora</f>
        <v>0.74284722222222221</v>
      </c>
      <c r="G116" t="e" cm="1" vm="1">
        <f t="array" aca="1" ref="G116" ca="1">[1]!TIMS3.VarSem</f>
        <v>#VALUE!</v>
      </c>
      <c r="H116" t="e" cm="1" vm="1">
        <f t="array" aca="1" ref="H116" ca="1">[1]!TIMS3.VarMes</f>
        <v>#VALUE!</v>
      </c>
      <c r="I116" t="e" cm="1" vm="1">
        <f t="array" aca="1" ref="I116" ca="1">[1]!TIMS3.Var12M</f>
        <v>#VALUE!</v>
      </c>
      <c r="J116" cm="1">
        <f t="array" ref="J116">[1]!TIMS3.Vol</f>
        <v>62897511</v>
      </c>
      <c r="K116" cm="1">
        <f t="array" ref="K116">[1]!TIMS3.QtdNeg</f>
        <v>12281</v>
      </c>
      <c r="L116" t="e" cm="1" vm="1">
        <f t="array" aca="1" ref="L116" ca="1">[1]!TIMS3.Fech</f>
        <v>#VALUE!</v>
      </c>
      <c r="M116" t="e" cm="1" vm="1">
        <f t="array" aca="1" ref="M116" ca="1">[1]!TIMS3.IbovParticip</f>
        <v>#VALUE!</v>
      </c>
      <c r="N116" t="str" cm="1">
        <f t="array" ref="N116">[1]!TIMS3.Desc</f>
        <v>TIM ON NM</v>
      </c>
      <c r="O116" t="e" cm="1" vm="1">
        <f t="array" aca="1" ref="O116" ca="1">[1]!TIMS3.VarAnual</f>
        <v>#VALUE!</v>
      </c>
      <c r="P116" cm="1">
        <f t="array" ref="P116">[1]!TIMS3.Exerc</f>
        <v>0</v>
      </c>
      <c r="Q116" cm="1">
        <f t="array" ref="Q116">[1]!TIMS3.Expir</f>
        <v>0</v>
      </c>
    </row>
    <row r="117" spans="1:17" x14ac:dyDescent="0.25">
      <c r="A117" t="str" cm="1">
        <f t="array" ref="A117">[1]!TOTS3.Estado</f>
        <v>Normal</v>
      </c>
      <c r="B117" cm="1">
        <f t="array" ref="B117">[1]!TOTS3.PreTeo</f>
        <v>0</v>
      </c>
      <c r="C117" t="s">
        <v>19</v>
      </c>
      <c r="D117" t="e" cm="1" vm="1">
        <f t="array" aca="1" ref="D117" ca="1">[1]!TOTS3.Ult</f>
        <v>#VALUE!</v>
      </c>
      <c r="E117" t="e" cm="1" vm="1">
        <f t="array" aca="1" ref="E117" ca="1">[1]!TOTS3.VarPer</f>
        <v>#VALUE!</v>
      </c>
      <c r="F117" cm="1">
        <f t="array" ref="F117">[1]!TOTS3.Hora</f>
        <v>0.74982638888888886</v>
      </c>
      <c r="G117" t="e" cm="1" vm="1">
        <f t="array" aca="1" ref="G117" ca="1">[1]!TOTS3.VarSem</f>
        <v>#VALUE!</v>
      </c>
      <c r="H117" t="e" cm="1" vm="1">
        <f t="array" aca="1" ref="H117" ca="1">[1]!TOTS3.VarMes</f>
        <v>#VALUE!</v>
      </c>
      <c r="I117" t="e" cm="1" vm="1">
        <f t="array" aca="1" ref="I117" ca="1">[1]!TOTS3.Var12M</f>
        <v>#VALUE!</v>
      </c>
      <c r="J117" cm="1">
        <f t="array" ref="J117">[1]!TOTS3.Vol</f>
        <v>119828143</v>
      </c>
      <c r="K117" cm="1">
        <f t="array" ref="K117">[1]!TOTS3.QtdNeg</f>
        <v>16959</v>
      </c>
      <c r="L117" t="e" cm="1" vm="1">
        <f t="array" aca="1" ref="L117" ca="1">[1]!TOTS3.Fech</f>
        <v>#VALUE!</v>
      </c>
      <c r="M117" t="e" cm="1" vm="1">
        <f t="array" aca="1" ref="M117" ca="1">[1]!TOTS3.IbovParticip</f>
        <v>#VALUE!</v>
      </c>
      <c r="N117" t="str" cm="1">
        <f t="array" ref="N117">[1]!TOTS3.Desc</f>
        <v>TOTVS ON NM</v>
      </c>
      <c r="O117" t="e" cm="1" vm="1">
        <f t="array" aca="1" ref="O117" ca="1">[1]!TOTS3.VarAnual</f>
        <v>#VALUE!</v>
      </c>
      <c r="P117" cm="1">
        <f t="array" ref="P117">[1]!TOTS3.Exerc</f>
        <v>0</v>
      </c>
      <c r="Q117" cm="1">
        <f t="array" ref="Q117">[1]!TOTS3.Expir</f>
        <v>0</v>
      </c>
    </row>
    <row r="118" spans="1:17" x14ac:dyDescent="0.25">
      <c r="A118" t="str" cm="1">
        <f t="array" ref="A118">[1]!TRAD3.Estado</f>
        <v>Normal</v>
      </c>
      <c r="B118" cm="1">
        <f t="array" ref="B118">[1]!TRAD3.PreTeo</f>
        <v>0</v>
      </c>
      <c r="C118" t="s">
        <v>172</v>
      </c>
      <c r="D118" t="e" cm="1" vm="1">
        <f t="array" aca="1" ref="D118" ca="1">[1]!TRAD3.Ult</f>
        <v>#VALUE!</v>
      </c>
      <c r="E118" t="e" cm="1" vm="1">
        <f t="array" aca="1" ref="E118" ca="1">[1]!TRAD3.VarPer</f>
        <v>#VALUE!</v>
      </c>
      <c r="F118" cm="1">
        <f t="array" ref="F118">[1]!TRAD3.Hora</f>
        <v>0.74582175925925931</v>
      </c>
      <c r="G118" t="e" cm="1" vm="1">
        <f t="array" aca="1" ref="G118" ca="1">[1]!TRAD3.VarSem</f>
        <v>#VALUE!</v>
      </c>
      <c r="H118" t="e" cm="1" vm="1">
        <f t="array" aca="1" ref="H118" ca="1">[1]!TRAD3.VarMes</f>
        <v>#VALUE!</v>
      </c>
      <c r="I118" t="e" cm="1" vm="1">
        <f t="array" aca="1" ref="I118" ca="1">[1]!TRAD3.Var12M</f>
        <v>#VALUE!</v>
      </c>
      <c r="J118" cm="1">
        <f t="array" ref="J118">[1]!TRAD3.Vol</f>
        <v>2612012</v>
      </c>
      <c r="K118" cm="1">
        <f t="array" ref="K118">[1]!TRAD3.QtdNeg</f>
        <v>1924</v>
      </c>
      <c r="L118" t="e" cm="1" vm="1">
        <f t="array" aca="1" ref="L118" ca="1">[1]!TRAD3.Fech</f>
        <v>#VALUE!</v>
      </c>
      <c r="M118" cm="1">
        <f t="array" ref="M118">[1]!TRAD3.IbovParticip</f>
        <v>0</v>
      </c>
      <c r="N118" t="str" cm="1">
        <f t="array" ref="N118">[1]!TRAD3.Desc</f>
        <v>TC ON NM</v>
      </c>
      <c r="O118" t="e" cm="1" vm="1">
        <f t="array" aca="1" ref="O118" ca="1">[1]!TRAD3.VarAnual</f>
        <v>#VALUE!</v>
      </c>
      <c r="P118" cm="1">
        <f t="array" ref="P118">[1]!TRAD3.Exerc</f>
        <v>0</v>
      </c>
      <c r="Q118" cm="1">
        <f t="array" ref="Q118">[1]!TRAD3.Expir</f>
        <v>0</v>
      </c>
    </row>
    <row r="119" spans="1:17" x14ac:dyDescent="0.25">
      <c r="A119" t="str" cm="1">
        <f t="array" ref="A119">[1]!TRPL4.Estado</f>
        <v>Normal</v>
      </c>
      <c r="B119" cm="1">
        <f t="array" ref="B119">[1]!TRPL4.PreTeo</f>
        <v>0</v>
      </c>
      <c r="C119" t="s">
        <v>173</v>
      </c>
      <c r="D119" t="e" cm="1" vm="1">
        <f t="array" aca="1" ref="D119" ca="1">[1]!TRPL4.Ult</f>
        <v>#VALUE!</v>
      </c>
      <c r="E119" t="e" cm="1" vm="1">
        <f t="array" aca="1" ref="E119" ca="1">[1]!TRPL4.VarPer</f>
        <v>#VALUE!</v>
      </c>
      <c r="F119" cm="1">
        <f t="array" ref="F119">[1]!TRPL4.Hora</f>
        <v>0.74950231481481477</v>
      </c>
      <c r="G119" t="e" cm="1" vm="1">
        <f t="array" aca="1" ref="G119" ca="1">[1]!TRPL4.VarSem</f>
        <v>#VALUE!</v>
      </c>
      <c r="H119" t="e" cm="1" vm="1">
        <f t="array" aca="1" ref="H119" ca="1">[1]!TRPL4.VarMes</f>
        <v>#VALUE!</v>
      </c>
      <c r="I119" t="e" cm="1" vm="1">
        <f t="array" aca="1" ref="I119" ca="1">[1]!TRPL4.Var12M</f>
        <v>#VALUE!</v>
      </c>
      <c r="J119" cm="1">
        <f t="array" ref="J119">[1]!TRPL4.Vol</f>
        <v>25898387</v>
      </c>
      <c r="K119" cm="1">
        <f t="array" ref="K119">[1]!TRPL4.QtdNeg</f>
        <v>5376</v>
      </c>
      <c r="L119" t="e" cm="1" vm="1">
        <f t="array" aca="1" ref="L119" ca="1">[1]!TRPL4.Fech</f>
        <v>#VALUE!</v>
      </c>
      <c r="M119" cm="1">
        <f t="array" ref="M119">[1]!TRPL4.IbovParticip</f>
        <v>0</v>
      </c>
      <c r="N119" t="str" cm="1">
        <f t="array" ref="N119">[1]!TRPL4.Desc</f>
        <v>TRAN PAULISTPN N1</v>
      </c>
      <c r="O119" t="e" cm="1" vm="1">
        <f t="array" aca="1" ref="O119" ca="1">[1]!TRPL4.VarAnual</f>
        <v>#VALUE!</v>
      </c>
      <c r="P119" cm="1">
        <f t="array" ref="P119">[1]!TRPL4.Exerc</f>
        <v>0</v>
      </c>
      <c r="Q119" cm="1">
        <f t="array" ref="Q119">[1]!TRPL4.Expir</f>
        <v>0</v>
      </c>
    </row>
    <row r="120" spans="1:17" x14ac:dyDescent="0.25">
      <c r="A120" t="str" cm="1">
        <f t="array" ref="A120">[1]!TWTR34.Estado</f>
        <v>Normal</v>
      </c>
      <c r="B120" cm="1">
        <f t="array" ref="B120">[1]!TWTR34.PreTeo</f>
        <v>0</v>
      </c>
      <c r="C120" t="s">
        <v>174</v>
      </c>
      <c r="D120" t="e" cm="1" vm="1">
        <f t="array" aca="1" ref="D120" ca="1">[1]!TWTR34.Ult</f>
        <v>#VALUE!</v>
      </c>
      <c r="E120" t="e" cm="1" vm="1">
        <f t="array" aca="1" ref="E120" ca="1">[1]!TWTR34.VarPer</f>
        <v>#VALUE!</v>
      </c>
      <c r="F120" cm="1">
        <f t="array" ref="F120">[1]!TWTR34.Hora</f>
        <v>0.73880787037037043</v>
      </c>
      <c r="G120" t="e" cm="1" vm="1">
        <f t="array" aca="1" ref="G120" ca="1">[1]!TWTR34.VarSem</f>
        <v>#VALUE!</v>
      </c>
      <c r="H120" t="e" cm="1" vm="1">
        <f t="array" aca="1" ref="H120" ca="1">[1]!TWTR34.VarMes</f>
        <v>#VALUE!</v>
      </c>
      <c r="I120" t="e" cm="1" vm="1">
        <f t="array" aca="1" ref="I120" ca="1">[1]!TWTR34.Var12M</f>
        <v>#VALUE!</v>
      </c>
      <c r="J120" cm="1">
        <f t="array" ref="J120">[1]!TWTR34.Vol</f>
        <v>53503</v>
      </c>
      <c r="K120" cm="1">
        <f t="array" ref="K120">[1]!TWTR34.QtdNeg</f>
        <v>49</v>
      </c>
      <c r="L120" t="e" cm="1" vm="1">
        <f t="array" aca="1" ref="L120" ca="1">[1]!TWTR34.Fech</f>
        <v>#VALUE!</v>
      </c>
      <c r="M120" cm="1">
        <f t="array" ref="M120">[1]!TWTR34.IbovParticip</f>
        <v>0</v>
      </c>
      <c r="N120" t="str" cm="1">
        <f t="array" ref="N120">[1]!TWTR34.Desc</f>
        <v>TWITTER DRN</v>
      </c>
      <c r="O120" t="e" cm="1" vm="1">
        <f t="array" aca="1" ref="O120" ca="1">[1]!TWTR34.VarAnual</f>
        <v>#VALUE!</v>
      </c>
      <c r="P120" cm="1">
        <f t="array" ref="P120">[1]!TWTR34.Exerc</f>
        <v>0</v>
      </c>
      <c r="Q120" cm="1">
        <f t="array" ref="Q120">[1]!TWTR34.Expir</f>
        <v>0</v>
      </c>
    </row>
    <row r="121" spans="1:17" x14ac:dyDescent="0.25">
      <c r="A121" t="str" cm="1">
        <f t="array" ref="A121">[1]!UGPA3.Estado</f>
        <v>Normal</v>
      </c>
      <c r="B121" cm="1">
        <f t="array" ref="B121">[1]!UGPA3.PreTeo</f>
        <v>0</v>
      </c>
      <c r="C121" t="s">
        <v>175</v>
      </c>
      <c r="D121" t="e" cm="1" vm="1">
        <f t="array" aca="1" ref="D121" ca="1">[1]!UGPA3.Ult</f>
        <v>#VALUE!</v>
      </c>
      <c r="E121" t="e" cm="1" vm="1">
        <f t="array" aca="1" ref="E121" ca="1">[1]!UGPA3.VarPer</f>
        <v>#VALUE!</v>
      </c>
      <c r="F121" cm="1">
        <f t="array" ref="F121">[1]!UGPA3.Hora</f>
        <v>0.72920138888888886</v>
      </c>
      <c r="G121" t="e" cm="1" vm="1">
        <f t="array" aca="1" ref="G121" ca="1">[1]!UGPA3.VarSem</f>
        <v>#VALUE!</v>
      </c>
      <c r="H121" t="e" cm="1" vm="1">
        <f t="array" aca="1" ref="H121" ca="1">[1]!UGPA3.VarMes</f>
        <v>#VALUE!</v>
      </c>
      <c r="I121" t="e" cm="1" vm="1">
        <f t="array" aca="1" ref="I121" ca="1">[1]!UGPA3.Var12M</f>
        <v>#VALUE!</v>
      </c>
      <c r="J121" cm="1">
        <f t="array" ref="J121">[1]!UGPA3.Vol</f>
        <v>89113996</v>
      </c>
      <c r="K121" cm="1">
        <f t="array" ref="K121">[1]!UGPA3.QtdNeg</f>
        <v>21186</v>
      </c>
      <c r="L121" t="e" cm="1" vm="1">
        <f t="array" aca="1" ref="L121" ca="1">[1]!UGPA3.Fech</f>
        <v>#VALUE!</v>
      </c>
      <c r="M121" t="e" cm="1" vm="1">
        <f t="array" aca="1" ref="M121" ca="1">[1]!UGPA3.IbovParticip</f>
        <v>#VALUE!</v>
      </c>
      <c r="N121" t="str" cm="1">
        <f t="array" ref="N121">[1]!UGPA3.Desc</f>
        <v>ULTRAPAR ON NM</v>
      </c>
      <c r="O121" t="e" cm="1" vm="1">
        <f t="array" aca="1" ref="O121" ca="1">[1]!UGPA3.VarAnual</f>
        <v>#VALUE!</v>
      </c>
      <c r="P121" cm="1">
        <f t="array" ref="P121">[1]!UGPA3.Exerc</f>
        <v>0</v>
      </c>
      <c r="Q121" cm="1">
        <f t="array" ref="Q121">[1]!UGPA3.Expir</f>
        <v>0</v>
      </c>
    </row>
    <row r="122" spans="1:17" x14ac:dyDescent="0.25">
      <c r="A122" t="str" cm="1">
        <f t="array" ref="A122">[1]!USIM5.Estado</f>
        <v>Normal</v>
      </c>
      <c r="B122" cm="1">
        <f t="array" ref="B122">[1]!USIM5.PreTeo</f>
        <v>0</v>
      </c>
      <c r="C122" t="s">
        <v>176</v>
      </c>
      <c r="D122" t="e" cm="1" vm="1">
        <f t="array" aca="1" ref="D122" ca="1">[1]!USIM5.Ult</f>
        <v>#VALUE!</v>
      </c>
      <c r="E122" t="e" cm="1" vm="1">
        <f t="array" aca="1" ref="E122" ca="1">[1]!USIM5.VarPer</f>
        <v>#VALUE!</v>
      </c>
      <c r="F122" cm="1">
        <f t="array" ref="F122">[1]!USIM5.Hora</f>
        <v>0.74996527777777777</v>
      </c>
      <c r="G122" t="e" cm="1" vm="1">
        <f t="array" aca="1" ref="G122" ca="1">[1]!USIM5.VarSem</f>
        <v>#VALUE!</v>
      </c>
      <c r="H122" t="e" cm="1" vm="1">
        <f t="array" aca="1" ref="H122" ca="1">[1]!USIM5.VarMes</f>
        <v>#VALUE!</v>
      </c>
      <c r="I122" t="e" cm="1" vm="1">
        <f t="array" aca="1" ref="I122" ca="1">[1]!USIM5.Var12M</f>
        <v>#VALUE!</v>
      </c>
      <c r="J122" cm="1">
        <f t="array" ref="J122">[1]!USIM5.Vol</f>
        <v>126037544</v>
      </c>
      <c r="K122" cm="1">
        <f t="array" ref="K122">[1]!USIM5.QtdNeg</f>
        <v>13073</v>
      </c>
      <c r="L122" t="e" cm="1" vm="1">
        <f t="array" aca="1" ref="L122" ca="1">[1]!USIM5.Fech</f>
        <v>#VALUE!</v>
      </c>
      <c r="M122" t="e" cm="1" vm="1">
        <f t="array" aca="1" ref="M122" ca="1">[1]!USIM5.IbovParticip</f>
        <v>#VALUE!</v>
      </c>
      <c r="N122" t="str" cm="1">
        <f t="array" ref="N122">[1]!USIM5.Desc</f>
        <v>USIMINAS PNA N1</v>
      </c>
      <c r="O122" t="e" cm="1" vm="1">
        <f t="array" aca="1" ref="O122" ca="1">[1]!USIM5.VarAnual</f>
        <v>#VALUE!</v>
      </c>
      <c r="P122" cm="1">
        <f t="array" ref="P122">[1]!USIM5.Exerc</f>
        <v>0</v>
      </c>
      <c r="Q122" cm="1">
        <f t="array" ref="Q122">[1]!USIM5.Expir</f>
        <v>0</v>
      </c>
    </row>
    <row r="123" spans="1:17" x14ac:dyDescent="0.25">
      <c r="A123" t="str" cm="1">
        <f t="array" ref="A123">[1]!VALE3.Estado</f>
        <v>Normal</v>
      </c>
      <c r="B123" cm="1">
        <f t="array" ref="B123">[1]!VALE3.PreTeo</f>
        <v>0</v>
      </c>
      <c r="C123" t="s">
        <v>177</v>
      </c>
      <c r="D123" t="e" cm="1" vm="1">
        <f t="array" aca="1" ref="D123" ca="1">[1]!VALE3.Ult</f>
        <v>#VALUE!</v>
      </c>
      <c r="E123" t="e" cm="1" vm="1">
        <f t="array" aca="1" ref="E123" ca="1">[1]!VALE3.VarPer</f>
        <v>#VALUE!</v>
      </c>
      <c r="F123" cm="1">
        <f t="array" ref="F123">[1]!VALE3.Hora</f>
        <v>0.74982638888888886</v>
      </c>
      <c r="G123" t="e" cm="1" vm="1">
        <f t="array" aca="1" ref="G123" ca="1">[1]!VALE3.VarSem</f>
        <v>#VALUE!</v>
      </c>
      <c r="H123" t="e" cm="1" vm="1">
        <f t="array" aca="1" ref="H123" ca="1">[1]!VALE3.VarMes</f>
        <v>#VALUE!</v>
      </c>
      <c r="I123" t="e" cm="1" vm="1">
        <f t="array" aca="1" ref="I123" ca="1">[1]!VALE3.Var12M</f>
        <v>#VALUE!</v>
      </c>
      <c r="J123" cm="1">
        <f t="array" ref="J123">[1]!VALE3.Vol</f>
        <v>1282739242</v>
      </c>
      <c r="K123" cm="1">
        <f t="array" ref="K123">[1]!VALE3.QtdNeg</f>
        <v>44806</v>
      </c>
      <c r="L123" t="e" cm="1" vm="1">
        <f t="array" aca="1" ref="L123" ca="1">[1]!VALE3.Fech</f>
        <v>#VALUE!</v>
      </c>
      <c r="M123" t="e" cm="1" vm="1">
        <f t="array" aca="1" ref="M123" ca="1">[1]!VALE3.IbovParticip</f>
        <v>#VALUE!</v>
      </c>
      <c r="N123" t="str" cm="1">
        <f t="array" ref="N123">[1]!VALE3.Desc</f>
        <v>VALE ON EDJ NM</v>
      </c>
      <c r="O123" t="e" cm="1" vm="1">
        <f t="array" aca="1" ref="O123" ca="1">[1]!VALE3.VarAnual</f>
        <v>#VALUE!</v>
      </c>
      <c r="P123" cm="1">
        <f t="array" ref="P123">[1]!VALE3.Exerc</f>
        <v>0</v>
      </c>
      <c r="Q123" cm="1">
        <f t="array" ref="Q123">[1]!VALE3.Expir</f>
        <v>0</v>
      </c>
    </row>
    <row r="124" spans="1:17" x14ac:dyDescent="0.25">
      <c r="A124" t="str" cm="1">
        <f t="array" ref="A124">[1]!VBBR3.Estado</f>
        <v>Normal</v>
      </c>
      <c r="B124" cm="1">
        <f t="array" ref="B124">[1]!VBBR3.PreTeo</f>
        <v>0</v>
      </c>
      <c r="C124" t="s">
        <v>178</v>
      </c>
      <c r="D124" t="e" cm="1" vm="1">
        <f t="array" aca="1" ref="D124" ca="1">[1]!VBBR3.Ult</f>
        <v>#VALUE!</v>
      </c>
      <c r="E124" t="e" cm="1" vm="1">
        <f t="array" aca="1" ref="E124" ca="1">[1]!VBBR3.VarPer</f>
        <v>#VALUE!</v>
      </c>
      <c r="F124" cm="1">
        <f t="array" ref="F124">[1]!VBBR3.Hora</f>
        <v>0.74920138888888888</v>
      </c>
      <c r="G124" t="e" cm="1" vm="1">
        <f t="array" aca="1" ref="G124" ca="1">[1]!VBBR3.VarSem</f>
        <v>#VALUE!</v>
      </c>
      <c r="H124" t="e" cm="1" vm="1">
        <f t="array" aca="1" ref="H124" ca="1">[1]!VBBR3.VarMes</f>
        <v>#VALUE!</v>
      </c>
      <c r="I124" t="e" cm="1" vm="1">
        <f t="array" aca="1" ref="I124" ca="1">[1]!VBBR3.Var12M</f>
        <v>#VALUE!</v>
      </c>
      <c r="J124" cm="1">
        <f t="array" ref="J124">[1]!VBBR3.Vol</f>
        <v>166579457</v>
      </c>
      <c r="K124" cm="1">
        <f t="array" ref="K124">[1]!VBBR3.QtdNeg</f>
        <v>20968</v>
      </c>
      <c r="L124" t="e" cm="1" vm="1">
        <f t="array" aca="1" ref="L124" ca="1">[1]!VBBR3.Fech</f>
        <v>#VALUE!</v>
      </c>
      <c r="M124" t="e" cm="1" vm="1">
        <f t="array" aca="1" ref="M124" ca="1">[1]!VBBR3.IbovParticip</f>
        <v>#VALUE!</v>
      </c>
      <c r="N124" t="str" cm="1">
        <f t="array" ref="N124">[1]!VBBR3.Desc</f>
        <v>VIBRA ON NM</v>
      </c>
      <c r="O124" t="e" cm="1" vm="1">
        <f t="array" aca="1" ref="O124" ca="1">[1]!VBBR3.VarAnual</f>
        <v>#VALUE!</v>
      </c>
      <c r="P124" cm="1">
        <f t="array" ref="P124">[1]!VBBR3.Exerc</f>
        <v>0</v>
      </c>
      <c r="Q124" cm="1">
        <f t="array" ref="Q124">[1]!VBBR3.Expir</f>
        <v>0</v>
      </c>
    </row>
    <row r="125" spans="1:17" x14ac:dyDescent="0.25">
      <c r="A125" t="str" cm="1">
        <f t="array" ref="A125">[1]!VIIA3.Estado</f>
        <v>Normal</v>
      </c>
      <c r="B125" cm="1">
        <f t="array" ref="B125">[1]!VIIA3.PreTeo</f>
        <v>0</v>
      </c>
      <c r="C125" t="s">
        <v>179</v>
      </c>
      <c r="D125" t="e" cm="1" vm="1">
        <f t="array" aca="1" ref="D125" ca="1">[1]!VIIA3.Ult</f>
        <v>#VALUE!</v>
      </c>
      <c r="E125" t="e" cm="1" vm="1">
        <f t="array" aca="1" ref="E125" ca="1">[1]!VIIA3.VarPer</f>
        <v>#VALUE!</v>
      </c>
      <c r="F125" cm="1">
        <f t="array" ref="F125">[1]!VIIA3.Hora</f>
        <v>0.74991898148148151</v>
      </c>
      <c r="G125" t="e" cm="1" vm="1">
        <f t="array" aca="1" ref="G125" ca="1">[1]!VIIA3.VarSem</f>
        <v>#VALUE!</v>
      </c>
      <c r="H125" t="e" cm="1" vm="1">
        <f t="array" aca="1" ref="H125" ca="1">[1]!VIIA3.VarMes</f>
        <v>#VALUE!</v>
      </c>
      <c r="I125" t="e" cm="1" vm="1">
        <f t="array" aca="1" ref="I125" ca="1">[1]!VIIA3.Var12M</f>
        <v>#VALUE!</v>
      </c>
      <c r="J125" cm="1">
        <f t="array" ref="J125">[1]!VIIA3.Vol</f>
        <v>209667815</v>
      </c>
      <c r="K125" cm="1">
        <f t="array" ref="K125">[1]!VIIA3.QtdNeg</f>
        <v>30734</v>
      </c>
      <c r="L125" t="e" cm="1" vm="1">
        <f t="array" aca="1" ref="L125" ca="1">[1]!VIIA3.Fech</f>
        <v>#VALUE!</v>
      </c>
      <c r="M125" t="e" cm="1" vm="1">
        <f t="array" aca="1" ref="M125" ca="1">[1]!VIIA3.IbovParticip</f>
        <v>#VALUE!</v>
      </c>
      <c r="N125" t="str" cm="1">
        <f t="array" ref="N125">[1]!VIIA3.Desc</f>
        <v>VIA ON NM</v>
      </c>
      <c r="O125" t="e" cm="1" vm="1">
        <f t="array" aca="1" ref="O125" ca="1">[1]!VIIA3.VarAnual</f>
        <v>#VALUE!</v>
      </c>
      <c r="P125" cm="1">
        <f t="array" ref="P125">[1]!VIIA3.Exerc</f>
        <v>0</v>
      </c>
      <c r="Q125" cm="1">
        <f t="array" ref="Q125">[1]!VIIA3.Expir</f>
        <v>0</v>
      </c>
    </row>
    <row r="126" spans="1:17" x14ac:dyDescent="0.25">
      <c r="A126" t="str" cm="1">
        <f t="array" ref="A126">[1]!VIVR3.Estado</f>
        <v>Normal</v>
      </c>
      <c r="B126" cm="1">
        <f t="array" ref="B126">[1]!VIVR3.PreTeo</f>
        <v>0</v>
      </c>
      <c r="C126" t="s">
        <v>180</v>
      </c>
      <c r="D126" t="e" cm="1" vm="1">
        <f t="array" aca="1" ref="D126" ca="1">[1]!VIVR3.Ult</f>
        <v>#VALUE!</v>
      </c>
      <c r="E126" cm="1">
        <f t="array" ref="E126">[1]!VIVR3.VarPer</f>
        <v>0</v>
      </c>
      <c r="F126" cm="1">
        <f t="array" ref="F126">[1]!VIVR3.Hora</f>
        <v>0.74633101851851846</v>
      </c>
      <c r="G126" cm="1">
        <f t="array" ref="G126">[1]!VIVR3.VarSem</f>
        <v>0</v>
      </c>
      <c r="H126" t="e" cm="1" vm="1">
        <f t="array" aca="1" ref="H126" ca="1">[1]!VIVR3.VarMes</f>
        <v>#VALUE!</v>
      </c>
      <c r="I126" t="e" cm="1" vm="1">
        <f t="array" aca="1" ref="I126" ca="1">[1]!VIVR3.Var12M</f>
        <v>#VALUE!</v>
      </c>
      <c r="J126" cm="1">
        <f t="array" ref="J126">[1]!VIVR3.Vol</f>
        <v>2740511</v>
      </c>
      <c r="K126" cm="1">
        <f t="array" ref="K126">[1]!VIVR3.QtdNeg</f>
        <v>960</v>
      </c>
      <c r="L126" t="e" cm="1" vm="1">
        <f t="array" aca="1" ref="L126" ca="1">[1]!VIVR3.Fech</f>
        <v>#VALUE!</v>
      </c>
      <c r="M126" cm="1">
        <f t="array" ref="M126">[1]!VIVR3.IbovParticip</f>
        <v>0</v>
      </c>
      <c r="N126" t="str" cm="1">
        <f t="array" ref="N126">[1]!VIVR3.Desc</f>
        <v>VIVER ON NM</v>
      </c>
      <c r="O126" t="e" cm="1" vm="1">
        <f t="array" aca="1" ref="O126" ca="1">[1]!VIVR3.VarAnual</f>
        <v>#VALUE!</v>
      </c>
      <c r="P126" cm="1">
        <f t="array" ref="P126">[1]!VIVR3.Exerc</f>
        <v>0</v>
      </c>
      <c r="Q126" cm="1">
        <f t="array" ref="Q126">[1]!VIVR3.Expir</f>
        <v>0</v>
      </c>
    </row>
    <row r="127" spans="1:17" x14ac:dyDescent="0.25">
      <c r="A127" t="str" cm="1">
        <f t="array" ref="A127">[1]!VIVT3.Estado</f>
        <v>Normal</v>
      </c>
      <c r="B127" cm="1">
        <f t="array" ref="B127">[1]!VIVT3.PreTeo</f>
        <v>0</v>
      </c>
      <c r="C127" t="s">
        <v>181</v>
      </c>
      <c r="D127" t="e" cm="1" vm="1">
        <f t="array" aca="1" ref="D127" ca="1">[1]!VIVT3.Ult</f>
        <v>#VALUE!</v>
      </c>
      <c r="E127" t="e" cm="1" vm="1">
        <f t="array" aca="1" ref="E127" ca="1">[1]!VIVT3.VarPer</f>
        <v>#VALUE!</v>
      </c>
      <c r="F127" cm="1">
        <f t="array" ref="F127">[1]!VIVT3.Hora</f>
        <v>0.74886574074074075</v>
      </c>
      <c r="G127" t="e" cm="1" vm="1">
        <f t="array" aca="1" ref="G127" ca="1">[1]!VIVT3.VarSem</f>
        <v>#VALUE!</v>
      </c>
      <c r="H127" t="e" cm="1" vm="1">
        <f t="array" aca="1" ref="H127" ca="1">[1]!VIVT3.VarMes</f>
        <v>#VALUE!</v>
      </c>
      <c r="I127" t="e" cm="1" vm="1">
        <f t="array" aca="1" ref="I127" ca="1">[1]!VIVT3.Var12M</f>
        <v>#VALUE!</v>
      </c>
      <c r="J127" cm="1">
        <f t="array" ref="J127">[1]!VIVT3.Vol</f>
        <v>87002456</v>
      </c>
      <c r="K127" cm="1">
        <f t="array" ref="K127">[1]!VIVT3.QtdNeg</f>
        <v>7211</v>
      </c>
      <c r="L127" t="e" cm="1" vm="1">
        <f t="array" aca="1" ref="L127" ca="1">[1]!VIVT3.Fech</f>
        <v>#VALUE!</v>
      </c>
      <c r="M127" t="e" cm="1" vm="1">
        <f t="array" aca="1" ref="M127" ca="1">[1]!VIVT3.IbovParticip</f>
        <v>#VALUE!</v>
      </c>
      <c r="N127" t="str" cm="1">
        <f t="array" ref="N127">[1]!VIVT3.Desc</f>
        <v>TELEF BRASILON</v>
      </c>
      <c r="O127" t="e" cm="1" vm="1">
        <f t="array" aca="1" ref="O127" ca="1">[1]!VIVT3.VarAnual</f>
        <v>#VALUE!</v>
      </c>
      <c r="P127" cm="1">
        <f t="array" ref="P127">[1]!VIVT3.Exerc</f>
        <v>0</v>
      </c>
      <c r="Q127" cm="1">
        <f t="array" ref="Q127">[1]!VIVT3.Expir</f>
        <v>0</v>
      </c>
    </row>
    <row r="128" spans="1:17" x14ac:dyDescent="0.25">
      <c r="A128" t="str" cm="1">
        <f t="array" ref="A128">[1]!WDOFUT.Estado</f>
        <v>Normal</v>
      </c>
      <c r="B128" cm="1">
        <f t="array" ref="B128">[1]!WDOFUT.PreTeo</f>
        <v>0</v>
      </c>
      <c r="C128" t="s">
        <v>182</v>
      </c>
      <c r="D128" t="e" cm="1" vm="1">
        <f t="array" aca="1" ref="D128" ca="1">[1]!WDOFUT.Ult</f>
        <v>#VALUE!</v>
      </c>
      <c r="E128" t="e" cm="1" vm="1">
        <f t="array" aca="1" ref="E128" ca="1">[1]!WDOFUT.VarPer</f>
        <v>#VALUE!</v>
      </c>
      <c r="F128" cm="1">
        <f t="array" ref="F128">[1]!WDOFUT.Hora</f>
        <v>0.74998842592592585</v>
      </c>
      <c r="G128" t="e" cm="1" vm="1">
        <f t="array" aca="1" ref="G128" ca="1">[1]!WDOFUT.VarSem</f>
        <v>#VALUE!</v>
      </c>
      <c r="H128" t="e" cm="1" vm="1">
        <f t="array" aca="1" ref="H128" ca="1">[1]!WDOFUT.VarMes</f>
        <v>#VALUE!</v>
      </c>
      <c r="I128" t="e" cm="1" vm="1">
        <f t="array" aca="1" ref="I128" ca="1">[1]!WDOFUT.Var12M</f>
        <v>#VALUE!</v>
      </c>
      <c r="J128" cm="1">
        <f t="array" ref="J128">[1]!WDOFUT.Vol</f>
        <v>3271359</v>
      </c>
      <c r="K128" cm="1">
        <f t="array" ref="K128">[1]!WDOFUT.QtdNeg</f>
        <v>1055258</v>
      </c>
      <c r="L128" t="e" cm="1" vm="1">
        <f t="array" aca="1" ref="L128" ca="1">[1]!WDOFUT.Fech</f>
        <v>#VALUE!</v>
      </c>
      <c r="M128" cm="1">
        <f t="array" ref="M128">[1]!WDOFUT.IbovParticip</f>
        <v>0</v>
      </c>
      <c r="N128" t="str" cm="1">
        <f t="array" ref="N128">[1]!WDOFUT.Desc</f>
        <v>DOLAR MINI:200000771140</v>
      </c>
      <c r="O128" t="e" cm="1" vm="1">
        <f t="array" aca="1" ref="O128" ca="1">[1]!WDOFUT.VarAnual</f>
        <v>#VALUE!</v>
      </c>
      <c r="P128" cm="1">
        <f t="array" ref="P128">[1]!WDOFUT.Exerc</f>
        <v>0</v>
      </c>
      <c r="Q128" cm="1">
        <f t="array" ref="Q128">[1]!WDOFUT.Expir</f>
        <v>44805</v>
      </c>
    </row>
    <row r="129" spans="1:17" x14ac:dyDescent="0.25">
      <c r="A129" t="str" cm="1">
        <f t="array" ref="A129">[1]!WEGE3.Estado</f>
        <v>Normal</v>
      </c>
      <c r="B129" cm="1">
        <f t="array" ref="B129">[1]!WEGE3.PreTeo</f>
        <v>0</v>
      </c>
      <c r="C129" t="s">
        <v>183</v>
      </c>
      <c r="D129" t="e" cm="1" vm="1">
        <f t="array" aca="1" ref="D129" ca="1">[1]!WEGE3.Ult</f>
        <v>#VALUE!</v>
      </c>
      <c r="E129" t="e" cm="1" vm="1">
        <f t="array" aca="1" ref="E129" ca="1">[1]!WEGE3.VarPer</f>
        <v>#VALUE!</v>
      </c>
      <c r="F129" cm="1">
        <f t="array" ref="F129">[1]!WEGE3.Hora</f>
        <v>0.74984953703703694</v>
      </c>
      <c r="G129" t="e" cm="1" vm="1">
        <f t="array" aca="1" ref="G129" ca="1">[1]!WEGE3.VarSem</f>
        <v>#VALUE!</v>
      </c>
      <c r="H129" t="e" cm="1" vm="1">
        <f t="array" aca="1" ref="H129" ca="1">[1]!WEGE3.VarMes</f>
        <v>#VALUE!</v>
      </c>
      <c r="I129" t="e" cm="1" vm="1">
        <f t="array" aca="1" ref="I129" ca="1">[1]!WEGE3.Var12M</f>
        <v>#VALUE!</v>
      </c>
      <c r="J129" cm="1">
        <f t="array" ref="J129">[1]!WEGE3.Vol</f>
        <v>210307481</v>
      </c>
      <c r="K129" cm="1">
        <f t="array" ref="K129">[1]!WEGE3.QtdNeg</f>
        <v>17900</v>
      </c>
      <c r="L129" t="e" cm="1" vm="1">
        <f t="array" aca="1" ref="L129" ca="1">[1]!WEGE3.Fech</f>
        <v>#VALUE!</v>
      </c>
      <c r="M129" t="e" cm="1" vm="1">
        <f t="array" aca="1" ref="M129" ca="1">[1]!WEGE3.IbovParticip</f>
        <v>#VALUE!</v>
      </c>
      <c r="N129" t="str" cm="1">
        <f t="array" ref="N129">[1]!WEGE3.Desc</f>
        <v>WEG ON NM</v>
      </c>
      <c r="O129" t="e" cm="1" vm="1">
        <f t="array" aca="1" ref="O129" ca="1">[1]!WEGE3.VarAnual</f>
        <v>#VALUE!</v>
      </c>
      <c r="P129" cm="1">
        <f t="array" ref="P129">[1]!WEGE3.Exerc</f>
        <v>0</v>
      </c>
      <c r="Q129" cm="1">
        <f t="array" ref="Q129">[1]!WEGE3.Expir</f>
        <v>0</v>
      </c>
    </row>
    <row r="130" spans="1:17" x14ac:dyDescent="0.25">
      <c r="A130" t="str" cm="1">
        <f t="array" ref="A130">[1]!YDUQ3.Estado</f>
        <v>Normal</v>
      </c>
      <c r="B130" cm="1">
        <f t="array" ref="B130">[1]!YDUQ3.PreTeo</f>
        <v>0</v>
      </c>
      <c r="C130" t="s">
        <v>184</v>
      </c>
      <c r="D130" t="e" cm="1" vm="1">
        <f t="array" aca="1" ref="D130" ca="1">[1]!YDUQ3.Ult</f>
        <v>#VALUE!</v>
      </c>
      <c r="E130" t="e" cm="1" vm="1">
        <f t="array" aca="1" ref="E130" ca="1">[1]!YDUQ3.VarPer</f>
        <v>#VALUE!</v>
      </c>
      <c r="F130" cm="1">
        <f t="array" ref="F130">[1]!YDUQ3.Hora</f>
        <v>0.74957175925925934</v>
      </c>
      <c r="G130" t="e" cm="1" vm="1">
        <f t="array" aca="1" ref="G130" ca="1">[1]!YDUQ3.VarSem</f>
        <v>#VALUE!</v>
      </c>
      <c r="H130" t="e" cm="1" vm="1">
        <f t="array" aca="1" ref="H130" ca="1">[1]!YDUQ3.VarMes</f>
        <v>#VALUE!</v>
      </c>
      <c r="I130" t="e" cm="1" vm="1">
        <f t="array" aca="1" ref="I130" ca="1">[1]!YDUQ3.Var12M</f>
        <v>#VALUE!</v>
      </c>
      <c r="J130" cm="1">
        <f t="array" ref="J130">[1]!YDUQ3.Vol</f>
        <v>45296904</v>
      </c>
      <c r="K130" cm="1">
        <f t="array" ref="K130">[1]!YDUQ3.QtdNeg</f>
        <v>12717</v>
      </c>
      <c r="L130" t="e" cm="1" vm="1">
        <f t="array" aca="1" ref="L130" ca="1">[1]!YDUQ3.Fech</f>
        <v>#VALUE!</v>
      </c>
      <c r="M130" t="e" cm="1" vm="1">
        <f t="array" aca="1" ref="M130" ca="1">[1]!YDUQ3.IbovParticip</f>
        <v>#VALUE!</v>
      </c>
      <c r="N130" t="str" cm="1">
        <f t="array" ref="N130">[1]!YDUQ3.Desc</f>
        <v>YDUQS PART ON NM</v>
      </c>
      <c r="O130" t="e" cm="1" vm="1">
        <f t="array" aca="1" ref="O130" ca="1">[1]!YDUQ3.VarAnual</f>
        <v>#VALUE!</v>
      </c>
      <c r="P130" cm="1">
        <f t="array" ref="P130">[1]!YDUQ3.Exerc</f>
        <v>0</v>
      </c>
      <c r="Q130" cm="1">
        <f t="array" ref="Q130">[1]!YDUQ3.Expir</f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clientes</vt:lpstr>
      <vt:lpstr>master</vt:lpstr>
      <vt:lpstr>Planilha2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Gilberto Coelho</cp:lastModifiedBy>
  <cp:lastPrinted>2022-08-22T21:50:35Z</cp:lastPrinted>
  <dcterms:created xsi:type="dcterms:W3CDTF">2022-08-22T17:54:27Z</dcterms:created>
  <dcterms:modified xsi:type="dcterms:W3CDTF">2022-08-22T23:34:24Z</dcterms:modified>
</cp:coreProperties>
</file>